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53222"/>
  <mc:AlternateContent xmlns:mc="http://schemas.openxmlformats.org/markup-compatibility/2006">
    <mc:Choice Requires="x15">
      <x15ac:absPath xmlns:x15ac="http://schemas.microsoft.com/office/spreadsheetml/2010/11/ac" url="D:\Users\gwasser\Desktop\"/>
    </mc:Choice>
  </mc:AlternateContent>
  <workbookProtection workbookAlgorithmName="SHA-512" workbookHashValue="0qNqAmslLvhPuEKvDcUeNoLg8G+X8BzKlii+xQNdwX7RRP4y9G26XqOc9VecsJ5Qp3ILAYYiWVTXy1pHOuiKVw==" workbookSaltValue="fAJM4aPO5XEfeqaAyZIt+w==" workbookSpinCount="100000" lockStructure="1"/>
  <bookViews>
    <workbookView showHorizontalScroll="0" showVerticalScroll="0" showSheetTabs="0" xWindow="0" yWindow="0" windowWidth="16350" windowHeight="9420" tabRatio="602"/>
  </bookViews>
  <sheets>
    <sheet name="Berechnung KPZ-24 Zarge" sheetId="1" r:id="rId1"/>
    <sheet name="Tabelle3" sheetId="3" state="hidden" r:id="rId2"/>
    <sheet name="Tabelle4" sheetId="4" state="hidden" r:id="rId3"/>
  </sheets>
  <definedNames>
    <definedName name="Artikelbild">INDEX(Tabelle4!$A$2:$B$35,MATCH(Tabelle4!$A$1,Tabelle4!$A$2:$A$35,0),2)</definedName>
    <definedName name="Artikelbild2">INDEX(Tabelle4!$A$2:$C$35,MATCH(Tabelle4!$A$1,Tabelle4!$A$2:$A$35,0),3)</definedName>
    <definedName name="_xlnm.Print_Area" localSheetId="0">'Berechnung KPZ-24 Zarge'!$A$1:$K$35</definedName>
    <definedName name="Z_388058D6_6C82_48EE_9430_34B88BCB3CD0_.wvu.PrintArea" localSheetId="0" hidden="1">'Berechnung KPZ-24 Zarge'!$A$1:$K$35</definedName>
  </definedNames>
  <calcPr calcId="152511"/>
  <customWorkbookViews>
    <customWorkbookView name="Druckvoransicht" guid="{388058D6-6C82-48EE-9430-34B88BCB3CD0}" maximized="1" showHorizontalScroll="0" showVerticalScroll="0" showSheetTabs="0" xWindow="-8" yWindow="-8" windowWidth="1696" windowHeight="1036" tabRatio="602" activeSheetId="1" showFormulaBar="0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" i="1" l="1"/>
  <c r="A25" i="1"/>
  <c r="B31" i="3" l="1"/>
  <c r="B54" i="3" l="1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C25" i="1" l="1"/>
  <c r="C31" i="1" s="1"/>
  <c r="C27" i="1"/>
  <c r="A31" i="1"/>
  <c r="C33" i="1" l="1"/>
  <c r="A1" i="4" s="1"/>
  <c r="A34" i="1" l="1"/>
  <c r="A37" i="3"/>
  <c r="A26" i="3" l="1"/>
  <c r="B26" i="3"/>
  <c r="B21" i="3"/>
  <c r="B20" i="3"/>
  <c r="B22" i="3"/>
  <c r="B23" i="3"/>
  <c r="B19" i="3"/>
  <c r="B18" i="3"/>
  <c r="A21" i="3"/>
  <c r="A19" i="3"/>
  <c r="A18" i="3"/>
  <c r="A23" i="3"/>
  <c r="A22" i="3"/>
  <c r="A20" i="3"/>
  <c r="A17" i="3"/>
  <c r="B17" i="3"/>
  <c r="B15" i="3"/>
  <c r="B14" i="3"/>
  <c r="B16" i="3"/>
  <c r="A16" i="3"/>
  <c r="A13" i="3"/>
  <c r="A15" i="3"/>
  <c r="A14" i="3"/>
  <c r="B12" i="3"/>
  <c r="B8" i="3"/>
  <c r="B10" i="3"/>
  <c r="B6" i="3"/>
  <c r="B13" i="3"/>
  <c r="B9" i="3"/>
  <c r="B11" i="3"/>
  <c r="B24" i="3" s="1"/>
  <c r="B7" i="3"/>
  <c r="A10" i="3"/>
  <c r="A9" i="3"/>
  <c r="A12" i="3"/>
  <c r="A8" i="3"/>
  <c r="A11" i="3"/>
  <c r="A25" i="3" s="1"/>
  <c r="A7" i="3"/>
  <c r="A6" i="3"/>
  <c r="B25" i="3" l="1"/>
  <c r="A24" i="3"/>
</calcChain>
</file>

<file path=xl/comments1.xml><?xml version="1.0" encoding="utf-8"?>
<comments xmlns="http://schemas.openxmlformats.org/spreadsheetml/2006/main">
  <authors>
    <author>Wasser Günther</author>
  </authors>
  <commentList>
    <comment ref="C11" authorId="0" shapeId="0">
      <text>
        <r>
          <rPr>
            <b/>
            <sz val="9"/>
            <color indexed="81"/>
            <rFont val="Segoe UI"/>
            <family val="2"/>
          </rPr>
          <t>Standard = 8mm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>Standard = 1050mm</t>
        </r>
        <r>
          <rPr>
            <sz val="9"/>
            <color indexed="81"/>
            <rFont val="Segoe UI"/>
            <family val="2"/>
          </rPr>
          <t xml:space="preserve">
Werte 950 bis 1100mm</t>
        </r>
      </text>
    </comment>
    <comment ref="C15" authorId="0" shapeId="0">
      <text>
        <r>
          <rPr>
            <b/>
            <sz val="8"/>
            <color indexed="81"/>
            <rFont val="Segoe UI"/>
            <family val="2"/>
          </rPr>
          <t>Standard = 3mm</t>
        </r>
      </text>
    </comment>
    <comment ref="C17" authorId="0" shapeId="0">
      <text>
        <r>
          <rPr>
            <b/>
            <sz val="9"/>
            <color indexed="81"/>
            <rFont val="Segoe UI"/>
            <family val="2"/>
          </rPr>
          <t>Standard = nein
7,5mm Bodenluft
ja = K-SENK</t>
        </r>
      </text>
    </comment>
    <comment ref="A21" authorId="0" shapeId="0">
      <text>
        <r>
          <rPr>
            <b/>
            <sz val="8"/>
            <color indexed="81"/>
            <rFont val="Segoe UI"/>
            <family val="2"/>
          </rPr>
          <t>Maß zwischen 600 bis 1200mm eingeben.</t>
        </r>
      </text>
    </comment>
    <comment ref="C21" authorId="0" shapeId="0">
      <text>
        <r>
          <rPr>
            <b/>
            <sz val="8"/>
            <color indexed="81"/>
            <rFont val="Segoe UI"/>
            <family val="2"/>
          </rPr>
          <t>Max. 2400mm bei DIN L
Max. 2300mm bei DIN R</t>
        </r>
      </text>
    </comment>
  </commentList>
</comments>
</file>

<file path=xl/sharedStrings.xml><?xml version="1.0" encoding="utf-8"?>
<sst xmlns="http://schemas.openxmlformats.org/spreadsheetml/2006/main" count="101" uniqueCount="91">
  <si>
    <t>x</t>
  </si>
  <si>
    <t>Zargenlänge</t>
  </si>
  <si>
    <t>Glasgewicht</t>
  </si>
  <si>
    <t>mm</t>
  </si>
  <si>
    <t>Kopfmaß</t>
  </si>
  <si>
    <t>Aufgehrichtung</t>
  </si>
  <si>
    <t>DIN L</t>
  </si>
  <si>
    <t>DIN R</t>
  </si>
  <si>
    <t xml:space="preserve">Absenkdichtung </t>
  </si>
  <si>
    <t>ja</t>
  </si>
  <si>
    <t>nein</t>
  </si>
  <si>
    <t>Werte DIN L</t>
  </si>
  <si>
    <t>Werte DIN R</t>
  </si>
  <si>
    <t>DIN L / 8 / nein / 2</t>
  </si>
  <si>
    <t>DIN L / 8 / ja / 2</t>
  </si>
  <si>
    <t>DIN L / 10 / nein / 2</t>
  </si>
  <si>
    <t>DIN L / 10 / ja / 2</t>
  </si>
  <si>
    <t>DIN L / 8 / nein / 3</t>
  </si>
  <si>
    <t>DIN L / 8 / ja / 3</t>
  </si>
  <si>
    <t>DIN L / 10 / nein / 3</t>
  </si>
  <si>
    <t>DIN L / 10 / ja / 3</t>
  </si>
  <si>
    <t>DIN R / 8 / nein / 2</t>
  </si>
  <si>
    <t>DIN R / 8 / ja / 2</t>
  </si>
  <si>
    <t>DIN R / 10 / nein / 2</t>
  </si>
  <si>
    <t>DIN R / 10 / ja / 2</t>
  </si>
  <si>
    <t>DIN R / 8 / nein / 3</t>
  </si>
  <si>
    <t>DIN R / 8 / ja / 3</t>
  </si>
  <si>
    <t>DIN R / 10 / nein / 3</t>
  </si>
  <si>
    <t>DIN R / 10 / ja / 3</t>
  </si>
  <si>
    <t>XXX</t>
  </si>
  <si>
    <t>Sägeblatt</t>
  </si>
  <si>
    <t>=INDEX(Tabelle4!$A$1:$B$34;VERGLEICH(Tabelle1!M3;Tabelle4!$A$1:$A$34;0);2)</t>
  </si>
  <si>
    <t>Mauer Lichte Breite</t>
  </si>
  <si>
    <t>Zargen Breite</t>
  </si>
  <si>
    <t>Mauer Lichte Höhe</t>
  </si>
  <si>
    <t>Zargen Höhe</t>
  </si>
  <si>
    <t>Glas Höhe</t>
  </si>
  <si>
    <t>Glas Breite</t>
  </si>
  <si>
    <t>Fallen Höhe</t>
  </si>
  <si>
    <t>Pulldownmenü Werte</t>
  </si>
  <si>
    <t>Glas Dicke</t>
  </si>
  <si>
    <t>=WENN(Tabelle1!D3="";"XXX";WENN(Tabelle1!D5="";"XXX";WENN(Tabelle1!J5="";"XXX";WENN(Tabelle1!J11="";"XXX";WENN(Tabelle1!J11&gt;55;"XXX";VERKETTEN(Tabelle1!D3;" / ";Tabelle1!D5;" / ";Tabelle1!J5;" / ";WENN(Tabelle1!J11="";"";WENN(Tabelle1!J11&lt;40;"2";WENN(Tabelle1!J11&gt;55;"";"3")))))))))</t>
  </si>
  <si>
    <t>=WENN(Tabelle1!D3="";"XXX";"Verkettenbefehl")</t>
  </si>
  <si>
    <t>=WENN(Tabelle1!D5="";"XXX";"Verkettenbefehl")</t>
  </si>
  <si>
    <t>=WENN(Tabelle1!J5="";"XXX";"Verkettenbefehl")</t>
  </si>
  <si>
    <t>=WENN(Tabelle1!J11="";"XXX";WENN(Tabelle1!J11&gt;55;"XXX";"Verkettenbefehl"))</t>
  </si>
  <si>
    <t>=VERKETTEN(Tabelle1!D3;" / ";Tabelle1!D5;" / ";Tabelle1!J5;" / ";(WENN(Tabelle1!J11="";"";WENN(Tabelle1!J11&lt;40;"2";WENN(Tabelle1!J11&gt;55;"";"3")))))</t>
  </si>
  <si>
    <t>Maß bis Falle Mitte</t>
  </si>
  <si>
    <r>
      <t>Abzug</t>
    </r>
    <r>
      <rPr>
        <b/>
        <sz val="8"/>
        <color theme="1"/>
        <rFont val="Calibri"/>
        <family val="2"/>
        <scheme val="minor"/>
      </rPr>
      <t xml:space="preserve"> li, re, oben [mm]</t>
    </r>
  </si>
  <si>
    <r>
      <t>Fallenhöhe</t>
    </r>
    <r>
      <rPr>
        <b/>
        <sz val="8"/>
        <color theme="1"/>
        <rFont val="Calibri"/>
        <family val="2"/>
        <scheme val="minor"/>
      </rPr>
      <t xml:space="preserve"> [mm]</t>
    </r>
  </si>
  <si>
    <r>
      <t>Glasstärke</t>
    </r>
    <r>
      <rPr>
        <b/>
        <sz val="8"/>
        <color theme="1"/>
        <rFont val="Calibri"/>
        <family val="2"/>
        <scheme val="minor"/>
      </rPr>
      <t xml:space="preserve"> [mm]</t>
    </r>
  </si>
  <si>
    <t>Benutzte Zargenlänge</t>
  </si>
  <si>
    <t>Firma / Business</t>
  </si>
  <si>
    <t>Ansprechperson</t>
  </si>
  <si>
    <t>GB</t>
  </si>
  <si>
    <t>GH</t>
  </si>
  <si>
    <t>ZB</t>
  </si>
  <si>
    <t>ZH</t>
  </si>
  <si>
    <t>MLB</t>
  </si>
  <si>
    <t>MLH</t>
  </si>
  <si>
    <t>1. Maß oben u. unten</t>
  </si>
  <si>
    <t>fertige Fußboden OK</t>
  </si>
  <si>
    <t>2. Maß oben</t>
  </si>
  <si>
    <t>Abzugsmaß</t>
  </si>
  <si>
    <t>Fallenhöhe</t>
  </si>
  <si>
    <t>1. Maß unten</t>
  </si>
  <si>
    <t>1. Maß unten/2Bän</t>
  </si>
  <si>
    <t>1. Maß oben/2Bän</t>
  </si>
  <si>
    <t>1. Maß oben/3Bän</t>
  </si>
  <si>
    <t>2. Maß oben/3Bän</t>
  </si>
  <si>
    <t>GH/2Bänder</t>
  </si>
  <si>
    <t>GH/3Bänder</t>
  </si>
  <si>
    <t>PLZ, Ort</t>
  </si>
  <si>
    <t>Kundennummer</t>
  </si>
  <si>
    <t>Straße, Nr.</t>
  </si>
  <si>
    <t>Telefon</t>
  </si>
  <si>
    <t>BERECHNUNG KPZ -24  Zarge</t>
  </si>
  <si>
    <t>Kommission</t>
  </si>
  <si>
    <t>Anzahl</t>
  </si>
  <si>
    <t>Oberfläche</t>
  </si>
  <si>
    <t>EF - Niro ähnl. elox.</t>
  </si>
  <si>
    <t>EV1 - natur eloxiert</t>
  </si>
  <si>
    <t>Anfrage</t>
  </si>
  <si>
    <t>Bestellung</t>
  </si>
  <si>
    <r>
      <t xml:space="preserve">Zargengröße </t>
    </r>
    <r>
      <rPr>
        <b/>
        <sz val="8"/>
        <color theme="1"/>
        <rFont val="Calibri"/>
        <family val="2"/>
        <scheme val="minor"/>
      </rPr>
      <t>[mm]</t>
    </r>
  </si>
  <si>
    <r>
      <t xml:space="preserve">Mauerlichte </t>
    </r>
    <r>
      <rPr>
        <b/>
        <sz val="8"/>
        <color theme="1"/>
        <rFont val="Calibri"/>
        <family val="2"/>
        <scheme val="minor"/>
      </rPr>
      <t>[mm]</t>
    </r>
  </si>
  <si>
    <r>
      <t xml:space="preserve">Glasgröße </t>
    </r>
    <r>
      <rPr>
        <b/>
        <sz val="8"/>
        <color theme="1"/>
        <rFont val="Calibri"/>
        <family val="2"/>
        <scheme val="minor"/>
      </rPr>
      <t>[mm]</t>
    </r>
  </si>
  <si>
    <t>Keine</t>
  </si>
  <si>
    <t>Dorma Studio Rondo</t>
  </si>
  <si>
    <t>Dorma Studio Classic</t>
  </si>
  <si>
    <t>Beschläge  (Detailinformationen bitte der Bestellung beifügen)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</si>
</sst>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&quot; kg&quot;"/>
    <numFmt numFmtId="170" formatCode="0&quot; Stück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indexed="81"/>
      <name val="Segoe UI"/>
      <family val="2"/>
    </font>
    <font>
      <b/>
      <u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36"/>
      <color theme="1"/>
      <name val="Calibri"/>
      <family val="2"/>
      <scheme val="minor"/>
    </font>
    <font>
      <sz val="12"/>
      <color rgb="FF5A5A5A"/>
      <name val="Consolas"/>
      <family val="3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0" fontId="4" fillId="0" borderId="9" xfId="0" applyFont="1" applyBorder="1"/>
    <xf numFmtId="0" fontId="1" fillId="0" borderId="9" xfId="0" applyFont="1" applyBorder="1"/>
    <xf numFmtId="0" fontId="4" fillId="0" borderId="5" xfId="0" applyFont="1" applyBorder="1" applyAlignment="1">
      <alignment horizontal="center"/>
    </xf>
    <xf numFmtId="0" fontId="1" fillId="0" borderId="6" xfId="0" applyFont="1" applyBorder="1"/>
    <xf numFmtId="0" fontId="0" fillId="0" borderId="11" xfId="0" applyBorder="1"/>
    <xf numFmtId="0" fontId="0" fillId="0" borderId="1" xfId="0" applyBorder="1"/>
    <xf numFmtId="0" fontId="0" fillId="0" borderId="4" xfId="0" applyBorder="1"/>
    <xf numFmtId="0" fontId="0" fillId="0" borderId="2" xfId="0" applyBorder="1"/>
    <xf numFmtId="0" fontId="0" fillId="0" borderId="8" xfId="0" applyBorder="1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0" fillId="0" borderId="0" xfId="0" quotePrefix="1"/>
    <xf numFmtId="0" fontId="8" fillId="0" borderId="0" xfId="0" applyFont="1" applyAlignment="1">
      <alignment vertical="center"/>
    </xf>
    <xf numFmtId="0" fontId="10" fillId="0" borderId="10" xfId="0" applyFont="1" applyBorder="1"/>
    <xf numFmtId="0" fontId="11" fillId="0" borderId="0" xfId="0" applyFont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2" xfId="0" applyBorder="1"/>
    <xf numFmtId="0" fontId="4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15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9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center"/>
    </xf>
    <xf numFmtId="0" fontId="0" fillId="0" borderId="11" xfId="0" quotePrefix="1" applyBorder="1" applyAlignment="1">
      <alignment horizontal="left"/>
    </xf>
    <xf numFmtId="0" fontId="13" fillId="0" borderId="0" xfId="0" applyFont="1" applyAlignment="1">
      <alignment horizontal="right"/>
    </xf>
    <xf numFmtId="14" fontId="0" fillId="0" borderId="0" xfId="0" applyNumberFormat="1"/>
    <xf numFmtId="0" fontId="1" fillId="0" borderId="9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textRotation="90"/>
    </xf>
    <xf numFmtId="0" fontId="0" fillId="0" borderId="0" xfId="0" quotePrefix="1" applyAlignment="1">
      <alignment horizontal="center"/>
    </xf>
    <xf numFmtId="0" fontId="10" fillId="0" borderId="20" xfId="0" applyFont="1" applyBorder="1" applyAlignment="1">
      <alignment horizontal="left"/>
    </xf>
    <xf numFmtId="14" fontId="0" fillId="0" borderId="0" xfId="0" applyNumberFormat="1" applyAlignment="1">
      <alignment horizontal="right"/>
    </xf>
    <xf numFmtId="0" fontId="0" fillId="0" borderId="0" xfId="0" applyProtection="1">
      <protection locked="0"/>
    </xf>
    <xf numFmtId="0" fontId="0" fillId="3" borderId="22" xfId="0" applyFill="1" applyBorder="1" applyAlignment="1" applyProtection="1">
      <alignment horizontal="left"/>
      <protection locked="0"/>
    </xf>
    <xf numFmtId="0" fontId="0" fillId="3" borderId="22" xfId="0" applyFill="1" applyBorder="1" applyAlignment="1" applyProtection="1">
      <alignment horizontal="right"/>
      <protection locked="0"/>
    </xf>
    <xf numFmtId="0" fontId="0" fillId="3" borderId="22" xfId="0" applyFont="1" applyFill="1" applyBorder="1" applyAlignment="1" applyProtection="1">
      <alignment horizontal="left"/>
      <protection locked="0"/>
    </xf>
    <xf numFmtId="0" fontId="0" fillId="3" borderId="22" xfId="0" applyFill="1" applyBorder="1" applyProtection="1">
      <protection locked="0"/>
    </xf>
    <xf numFmtId="170" fontId="0" fillId="3" borderId="22" xfId="0" applyNumberFormat="1" applyFill="1" applyBorder="1" applyAlignment="1" applyProtection="1">
      <alignment horizontal="left"/>
      <protection locked="0"/>
    </xf>
    <xf numFmtId="0" fontId="0" fillId="3" borderId="22" xfId="0" applyFont="1" applyFill="1" applyBorder="1" applyAlignment="1" applyProtection="1">
      <alignment horizontal="left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0" fontId="0" fillId="0" borderId="0" xfId="0" applyAlignment="1" applyProtection="1">
      <alignment horizontal="center"/>
      <protection locked="0"/>
    </xf>
    <xf numFmtId="0" fontId="0" fillId="3" borderId="22" xfId="0" applyFill="1" applyBorder="1" applyProtection="1"/>
    <xf numFmtId="0" fontId="14" fillId="3" borderId="22" xfId="0" applyFont="1" applyFill="1" applyBorder="1" applyAlignment="1" applyProtection="1">
      <alignment horizontal="left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99"/>
      <color rgb="FFFFFFFF"/>
      <color rgb="FF0000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Tabelle3!$D$10" lockText="1" noThreeD="1"/>
</file>

<file path=xl/ctrlProps/ctrlProp2.xml><?xml version="1.0" encoding="utf-8"?>
<formControlPr xmlns="http://schemas.microsoft.com/office/spreadsheetml/2009/9/main" objectType="CheckBox" checked="Checked" fmlaLink="Tabelle3!$D$9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13" Type="http://schemas.openxmlformats.org/officeDocument/2006/relationships/image" Target="../media/image18.jpg"/><Relationship Id="rId3" Type="http://schemas.openxmlformats.org/officeDocument/2006/relationships/image" Target="../media/image8.jpg"/><Relationship Id="rId7" Type="http://schemas.openxmlformats.org/officeDocument/2006/relationships/image" Target="../media/image12.jpg"/><Relationship Id="rId12" Type="http://schemas.openxmlformats.org/officeDocument/2006/relationships/image" Target="../media/image17.jpg"/><Relationship Id="rId2" Type="http://schemas.openxmlformats.org/officeDocument/2006/relationships/image" Target="../media/image7.jpg"/><Relationship Id="rId16" Type="http://schemas.openxmlformats.org/officeDocument/2006/relationships/image" Target="../media/image21.jpg"/><Relationship Id="rId1" Type="http://schemas.openxmlformats.org/officeDocument/2006/relationships/image" Target="../media/image6.jpg"/><Relationship Id="rId6" Type="http://schemas.openxmlformats.org/officeDocument/2006/relationships/image" Target="../media/image11.jpg"/><Relationship Id="rId11" Type="http://schemas.openxmlformats.org/officeDocument/2006/relationships/image" Target="../media/image16.jpg"/><Relationship Id="rId5" Type="http://schemas.openxmlformats.org/officeDocument/2006/relationships/image" Target="../media/image10.jpg"/><Relationship Id="rId15" Type="http://schemas.openxmlformats.org/officeDocument/2006/relationships/image" Target="../media/image20.jpg"/><Relationship Id="rId10" Type="http://schemas.openxmlformats.org/officeDocument/2006/relationships/image" Target="../media/image15.jpg"/><Relationship Id="rId4" Type="http://schemas.openxmlformats.org/officeDocument/2006/relationships/image" Target="../media/image9.jpg"/><Relationship Id="rId9" Type="http://schemas.openxmlformats.org/officeDocument/2006/relationships/image" Target="../media/image14.jpg"/><Relationship Id="rId14" Type="http://schemas.openxmlformats.org/officeDocument/2006/relationships/image" Target="../media/image19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99124</xdr:colOff>
          <xdr:row>8</xdr:row>
          <xdr:rowOff>16642</xdr:rowOff>
        </xdr:from>
        <xdr:to>
          <xdr:col>11</xdr:col>
          <xdr:colOff>11267</xdr:colOff>
          <xdr:row>35</xdr:row>
          <xdr:rowOff>2853</xdr:rowOff>
        </xdr:to>
        <xdr:pic>
          <xdr:nvPicPr>
            <xdr:cNvPr id="45" name="Grafik 39"/>
            <xdr:cNvPicPr>
              <a:picLocks noChangeArrowheads="1"/>
              <a:extLst>
                <a:ext uri="{84589F7E-364E-4C9E-8A38-B11213B215E9}">
                  <a14:cameraTool cellRange="Artikelbild2" spid="_x0000_s147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6157024" y="1502542"/>
              <a:ext cx="3055393" cy="5234486"/>
            </a:xfrm>
            <a:prstGeom prst="rect">
              <a:avLst/>
            </a:prstGeom>
            <a:noFill/>
            <a:ln w="0">
              <a:solidFill>
                <a:schemeClr val="bg1">
                  <a:alpha val="0"/>
                </a:schemeClr>
              </a:solidFill>
            </a:ln>
            <a:effectLst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76438</xdr:colOff>
          <xdr:row>7</xdr:row>
          <xdr:rowOff>122035</xdr:rowOff>
        </xdr:from>
        <xdr:to>
          <xdr:col>7</xdr:col>
          <xdr:colOff>1377035</xdr:colOff>
          <xdr:row>34</xdr:row>
          <xdr:rowOff>175271</xdr:rowOff>
        </xdr:to>
        <xdr:pic>
          <xdr:nvPicPr>
            <xdr:cNvPr id="9" name="Grafik 39"/>
            <xdr:cNvPicPr preferRelativeResize="0">
              <a:picLocks noChangeAspect="1" noChangeArrowheads="1"/>
              <a:extLst>
                <a:ext uri="{84589F7E-364E-4C9E-8A38-B11213B215E9}">
                  <a14:cameraTool cellRange="Artikelbild" spid="_x0000_s147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991088" y="1579360"/>
              <a:ext cx="3062722" cy="5234836"/>
            </a:xfrm>
            <a:prstGeom prst="rect">
              <a:avLst/>
            </a:prstGeom>
            <a:noFill/>
            <a:ln w="0">
              <a:solidFill>
                <a:srgbClr val="FFFFFF">
                  <a:alpha val="0"/>
                </a:srgbClr>
              </a:solidFill>
            </a:ln>
            <a:effectLst>
              <a:softEdge rad="0"/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649355</xdr:colOff>
      <xdr:row>32</xdr:row>
      <xdr:rowOff>99840</xdr:rowOff>
    </xdr:from>
    <xdr:to>
      <xdr:col>7</xdr:col>
      <xdr:colOff>100918</xdr:colOff>
      <xdr:row>33</xdr:row>
      <xdr:rowOff>160399</xdr:rowOff>
    </xdr:to>
    <xdr:sp macro="" textlink="Tabelle3!A6">
      <xdr:nvSpPr>
        <xdr:cNvPr id="34" name="Textfeld 33"/>
        <xdr:cNvSpPr txBox="1"/>
      </xdr:nvSpPr>
      <xdr:spPr>
        <a:xfrm>
          <a:off x="3945005" y="6262515"/>
          <a:ext cx="832688" cy="25105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E5FCD8D-3B66-4159-A663-F1E932E9DF29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954177</xdr:colOff>
      <xdr:row>31</xdr:row>
      <xdr:rowOff>75004</xdr:rowOff>
    </xdr:from>
    <xdr:to>
      <xdr:col>7</xdr:col>
      <xdr:colOff>429039</xdr:colOff>
      <xdr:row>32</xdr:row>
      <xdr:rowOff>175592</xdr:rowOff>
    </xdr:to>
    <xdr:sp macro="" textlink="Tabelle3!B7">
      <xdr:nvSpPr>
        <xdr:cNvPr id="35" name="Textfeld 34"/>
        <xdr:cNvSpPr txBox="1"/>
      </xdr:nvSpPr>
      <xdr:spPr>
        <a:xfrm>
          <a:off x="4249827" y="6113854"/>
          <a:ext cx="855987" cy="22441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9E43EFAD-FC4D-4EC8-95C6-58666B5780E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ZB = 894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955818</xdr:colOff>
      <xdr:row>30</xdr:row>
      <xdr:rowOff>122340</xdr:rowOff>
    </xdr:from>
    <xdr:to>
      <xdr:col>7</xdr:col>
      <xdr:colOff>397150</xdr:colOff>
      <xdr:row>32</xdr:row>
      <xdr:rowOff>10990</xdr:rowOff>
    </xdr:to>
    <xdr:sp macro="" textlink="Tabelle3!B8">
      <xdr:nvSpPr>
        <xdr:cNvPr id="36" name="Textfeld 35"/>
        <xdr:cNvSpPr txBox="1"/>
      </xdr:nvSpPr>
      <xdr:spPr>
        <a:xfrm>
          <a:off x="4251468" y="5970690"/>
          <a:ext cx="822457" cy="20297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4C63580-01D3-49D4-B390-9ADC268CDE3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GB = 867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938419</xdr:colOff>
      <xdr:row>32</xdr:row>
      <xdr:rowOff>95664</xdr:rowOff>
    </xdr:from>
    <xdr:to>
      <xdr:col>7</xdr:col>
      <xdr:colOff>404191</xdr:colOff>
      <xdr:row>33</xdr:row>
      <xdr:rowOff>78685</xdr:rowOff>
    </xdr:to>
    <xdr:sp macro="" textlink="Tabelle3!B6">
      <xdr:nvSpPr>
        <xdr:cNvPr id="41" name="Textfeld 40"/>
        <xdr:cNvSpPr txBox="1"/>
      </xdr:nvSpPr>
      <xdr:spPr>
        <a:xfrm>
          <a:off x="4234069" y="6258339"/>
          <a:ext cx="846897" cy="17352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592B8EF-F525-454E-966B-8355A1C9400D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MLB = 900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696712</xdr:colOff>
      <xdr:row>31</xdr:row>
      <xdr:rowOff>82054</xdr:rowOff>
    </xdr:from>
    <xdr:to>
      <xdr:col>7</xdr:col>
      <xdr:colOff>127551</xdr:colOff>
      <xdr:row>32</xdr:row>
      <xdr:rowOff>162468</xdr:rowOff>
    </xdr:to>
    <xdr:sp macro="" textlink="Tabelle3!A7">
      <xdr:nvSpPr>
        <xdr:cNvPr id="47" name="Textfeld 46"/>
        <xdr:cNvSpPr txBox="1"/>
      </xdr:nvSpPr>
      <xdr:spPr>
        <a:xfrm>
          <a:off x="3992362" y="6120904"/>
          <a:ext cx="811964" cy="20423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974B246-E59F-479E-9450-21C70A5B6162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670619</xdr:colOff>
      <xdr:row>30</xdr:row>
      <xdr:rowOff>122643</xdr:rowOff>
    </xdr:from>
    <xdr:to>
      <xdr:col>7</xdr:col>
      <xdr:colOff>126306</xdr:colOff>
      <xdr:row>32</xdr:row>
      <xdr:rowOff>65560</xdr:rowOff>
    </xdr:to>
    <xdr:sp macro="" textlink="Tabelle3!A8">
      <xdr:nvSpPr>
        <xdr:cNvPr id="48" name="Textfeld 47"/>
        <xdr:cNvSpPr txBox="1"/>
      </xdr:nvSpPr>
      <xdr:spPr>
        <a:xfrm>
          <a:off x="3966269" y="5970993"/>
          <a:ext cx="836812" cy="25724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D8CB819E-CEED-4FAC-B67A-4593D35FBF3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268657</xdr:colOff>
      <xdr:row>21</xdr:row>
      <xdr:rowOff>275807</xdr:rowOff>
    </xdr:from>
    <xdr:to>
      <xdr:col>7</xdr:col>
      <xdr:colOff>466725</xdr:colOff>
      <xdr:row>27</xdr:row>
      <xdr:rowOff>160268</xdr:rowOff>
    </xdr:to>
    <xdr:sp macro="" textlink="Tabelle3!A12">
      <xdr:nvSpPr>
        <xdr:cNvPr id="54" name="Textfeld 53"/>
        <xdr:cNvSpPr txBox="1"/>
      </xdr:nvSpPr>
      <xdr:spPr>
        <a:xfrm rot="16200000">
          <a:off x="4421198" y="4429066"/>
          <a:ext cx="1246536" cy="1980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19B899B-AB21-4EC3-921E-C76E2F04EA4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5</xdr:col>
      <xdr:colOff>319116</xdr:colOff>
      <xdr:row>18</xdr:row>
      <xdr:rowOff>57089</xdr:rowOff>
    </xdr:from>
    <xdr:to>
      <xdr:col>6</xdr:col>
      <xdr:colOff>138141</xdr:colOff>
      <xdr:row>21</xdr:row>
      <xdr:rowOff>266702</xdr:rowOff>
    </xdr:to>
    <xdr:sp macro="" textlink="Tabelle3!A10">
      <xdr:nvSpPr>
        <xdr:cNvPr id="18" name="Textfeld 17"/>
        <xdr:cNvSpPr txBox="1"/>
      </xdr:nvSpPr>
      <xdr:spPr>
        <a:xfrm rot="16200000" flipH="1">
          <a:off x="2943222" y="3405158"/>
          <a:ext cx="781113" cy="20002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8907E247-9543-45C8-86E1-D6B62D813AE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5</xdr:col>
      <xdr:colOff>196531</xdr:colOff>
      <xdr:row>18</xdr:row>
      <xdr:rowOff>38103</xdr:rowOff>
    </xdr:from>
    <xdr:to>
      <xdr:col>6</xdr:col>
      <xdr:colOff>72710</xdr:colOff>
      <xdr:row>21</xdr:row>
      <xdr:rowOff>381002</xdr:rowOff>
    </xdr:to>
    <xdr:sp macro="" textlink="Tabelle3!A9">
      <xdr:nvSpPr>
        <xdr:cNvPr id="19" name="Textfeld 18"/>
        <xdr:cNvSpPr txBox="1"/>
      </xdr:nvSpPr>
      <xdr:spPr>
        <a:xfrm rot="16200000" flipH="1">
          <a:off x="2782571" y="3424238"/>
          <a:ext cx="914399" cy="25717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E3CCF05-F419-490C-9420-3B8BF9F905CB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927800</xdr:colOff>
      <xdr:row>28</xdr:row>
      <xdr:rowOff>74257</xdr:rowOff>
    </xdr:from>
    <xdr:to>
      <xdr:col>6</xdr:col>
      <xdr:colOff>1340542</xdr:colOff>
      <xdr:row>29</xdr:row>
      <xdr:rowOff>108216</xdr:rowOff>
    </xdr:to>
    <xdr:sp macro="" textlink="Tabelle3!A13">
      <xdr:nvSpPr>
        <xdr:cNvPr id="20" name="Textfeld 19"/>
        <xdr:cNvSpPr txBox="1"/>
      </xdr:nvSpPr>
      <xdr:spPr>
        <a:xfrm>
          <a:off x="4223450" y="5541607"/>
          <a:ext cx="412742" cy="22445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ctr"/>
          <a:fld id="{08BFAE94-47DF-4CD0-8AB5-3DB9BE8B23D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50817</xdr:colOff>
      <xdr:row>26</xdr:row>
      <xdr:rowOff>185120</xdr:rowOff>
    </xdr:from>
    <xdr:to>
      <xdr:col>6</xdr:col>
      <xdr:colOff>259122</xdr:colOff>
      <xdr:row>27</xdr:row>
      <xdr:rowOff>432355</xdr:rowOff>
    </xdr:to>
    <xdr:sp macro="" textlink="Tabelle3!A14">
      <xdr:nvSpPr>
        <xdr:cNvPr id="21" name="Textfeld 20"/>
        <xdr:cNvSpPr txBox="1"/>
      </xdr:nvSpPr>
      <xdr:spPr>
        <a:xfrm rot="16200000" flipH="1">
          <a:off x="3231752" y="5100435"/>
          <a:ext cx="437735" cy="20830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A954646-BEAC-4EE6-A8FB-BD883B368FAD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54419</xdr:colOff>
      <xdr:row>8</xdr:row>
      <xdr:rowOff>2903</xdr:rowOff>
    </xdr:from>
    <xdr:to>
      <xdr:col>6</xdr:col>
      <xdr:colOff>265926</xdr:colOff>
      <xdr:row>13</xdr:row>
      <xdr:rowOff>31477</xdr:rowOff>
    </xdr:to>
    <xdr:sp macro="" textlink="Tabelle3!A14">
      <xdr:nvSpPr>
        <xdr:cNvPr id="22" name="Textfeld 21"/>
        <xdr:cNvSpPr txBox="1"/>
      </xdr:nvSpPr>
      <xdr:spPr>
        <a:xfrm rot="16200000" flipH="1">
          <a:off x="3031961" y="1806911"/>
          <a:ext cx="847724" cy="21150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A954646-BEAC-4EE6-A8FB-BD883B368FAD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593867</xdr:colOff>
      <xdr:row>17</xdr:row>
      <xdr:rowOff>28579</xdr:rowOff>
    </xdr:from>
    <xdr:to>
      <xdr:col>7</xdr:col>
      <xdr:colOff>819150</xdr:colOff>
      <xdr:row>21</xdr:row>
      <xdr:rowOff>438155</xdr:rowOff>
    </xdr:to>
    <xdr:sp macro="" textlink="Tabelle3!A11">
      <xdr:nvSpPr>
        <xdr:cNvPr id="51" name="Textfeld 50"/>
        <xdr:cNvSpPr txBox="1"/>
      </xdr:nvSpPr>
      <xdr:spPr>
        <a:xfrm rot="16200000" flipH="1">
          <a:off x="4830833" y="3402088"/>
          <a:ext cx="1104901" cy="22528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E0398F4-0613-45DA-ABF6-9FB4A8618F9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825528</xdr:colOff>
      <xdr:row>27</xdr:row>
      <xdr:rowOff>243514</xdr:rowOff>
    </xdr:from>
    <xdr:to>
      <xdr:col>7</xdr:col>
      <xdr:colOff>1323976</xdr:colOff>
      <xdr:row>27</xdr:row>
      <xdr:rowOff>419100</xdr:rowOff>
    </xdr:to>
    <xdr:sp macro="" textlink="Tabelle3!A15">
      <xdr:nvSpPr>
        <xdr:cNvPr id="23" name="Textfeld 22"/>
        <xdr:cNvSpPr txBox="1"/>
      </xdr:nvSpPr>
      <xdr:spPr>
        <a:xfrm>
          <a:off x="5502303" y="5234614"/>
          <a:ext cx="498448" cy="1755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2628D299-64ED-4DCF-B074-F5F892F220B1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5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55394</xdr:colOff>
      <xdr:row>11</xdr:row>
      <xdr:rowOff>41032</xdr:rowOff>
    </xdr:from>
    <xdr:to>
      <xdr:col>6</xdr:col>
      <xdr:colOff>266901</xdr:colOff>
      <xdr:row>16</xdr:row>
      <xdr:rowOff>136281</xdr:rowOff>
    </xdr:to>
    <xdr:sp macro="" textlink="Tabelle3!A16">
      <xdr:nvSpPr>
        <xdr:cNvPr id="24" name="Textfeld 23"/>
        <xdr:cNvSpPr txBox="1"/>
      </xdr:nvSpPr>
      <xdr:spPr>
        <a:xfrm rot="16200000" flipH="1">
          <a:off x="3032936" y="2349865"/>
          <a:ext cx="847724" cy="21150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F61AE6C-E551-4728-ABE8-22EE549177B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6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336812</xdr:colOff>
      <xdr:row>28</xdr:row>
      <xdr:rowOff>48446</xdr:rowOff>
    </xdr:from>
    <xdr:to>
      <xdr:col>7</xdr:col>
      <xdr:colOff>685800</xdr:colOff>
      <xdr:row>29</xdr:row>
      <xdr:rowOff>152399</xdr:rowOff>
    </xdr:to>
    <xdr:sp macro="" textlink="Tabelle3!A17">
      <xdr:nvSpPr>
        <xdr:cNvPr id="25" name="Textfeld 24"/>
        <xdr:cNvSpPr txBox="1"/>
      </xdr:nvSpPr>
      <xdr:spPr>
        <a:xfrm>
          <a:off x="5013587" y="5515796"/>
          <a:ext cx="348988" cy="29445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781E84E-B097-475D-AB20-35208FDC6829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182763</xdr:colOff>
      <xdr:row>28</xdr:row>
      <xdr:rowOff>118440</xdr:rowOff>
    </xdr:from>
    <xdr:to>
      <xdr:col>6</xdr:col>
      <xdr:colOff>595505</xdr:colOff>
      <xdr:row>29</xdr:row>
      <xdr:rowOff>81994</xdr:rowOff>
    </xdr:to>
    <xdr:sp macro="" textlink="Tabelle3!A17">
      <xdr:nvSpPr>
        <xdr:cNvPr id="26" name="Textfeld 25"/>
        <xdr:cNvSpPr txBox="1"/>
      </xdr:nvSpPr>
      <xdr:spPr>
        <a:xfrm>
          <a:off x="3478413" y="5585790"/>
          <a:ext cx="412742" cy="15405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781E84E-B097-475D-AB20-35208FDC6829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956437</xdr:colOff>
      <xdr:row>16</xdr:row>
      <xdr:rowOff>168933</xdr:rowOff>
    </xdr:from>
    <xdr:to>
      <xdr:col>7</xdr:col>
      <xdr:colOff>1181102</xdr:colOff>
      <xdr:row>22</xdr:row>
      <xdr:rowOff>43857</xdr:rowOff>
    </xdr:to>
    <xdr:sp macro="" textlink="Tabelle3!B9">
      <xdr:nvSpPr>
        <xdr:cNvPr id="27" name="Textfeld 26"/>
        <xdr:cNvSpPr txBox="1"/>
      </xdr:nvSpPr>
      <xdr:spPr>
        <a:xfrm rot="16200000">
          <a:off x="5127045" y="3418300"/>
          <a:ext cx="1236999" cy="22466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4DD9089-1008-4B63-9884-AB151A1DB24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MLH = 2100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829507</xdr:colOff>
      <xdr:row>16</xdr:row>
      <xdr:rowOff>162927</xdr:rowOff>
    </xdr:from>
    <xdr:to>
      <xdr:col>7</xdr:col>
      <xdr:colOff>1057275</xdr:colOff>
      <xdr:row>22</xdr:row>
      <xdr:rowOff>41994</xdr:rowOff>
    </xdr:to>
    <xdr:sp macro="" textlink="Tabelle3!B10">
      <xdr:nvSpPr>
        <xdr:cNvPr id="28" name="Textfeld 27"/>
        <xdr:cNvSpPr txBox="1"/>
      </xdr:nvSpPr>
      <xdr:spPr>
        <a:xfrm rot="16200000">
          <a:off x="4999595" y="3412814"/>
          <a:ext cx="1241142" cy="2277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3E07985-6371-4FF6-9D33-6D751018B20D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ZH = 2097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113355</xdr:colOff>
      <xdr:row>16</xdr:row>
      <xdr:rowOff>173818</xdr:rowOff>
    </xdr:from>
    <xdr:to>
      <xdr:col>6</xdr:col>
      <xdr:colOff>297472</xdr:colOff>
      <xdr:row>22</xdr:row>
      <xdr:rowOff>52471</xdr:rowOff>
    </xdr:to>
    <xdr:sp macro="" textlink="Tabelle3!B11">
      <xdr:nvSpPr>
        <xdr:cNvPr id="29" name="Textfeld 28"/>
        <xdr:cNvSpPr txBox="1"/>
      </xdr:nvSpPr>
      <xdr:spPr>
        <a:xfrm rot="16200000">
          <a:off x="2880700" y="3445323"/>
          <a:ext cx="1240728" cy="18411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4FB406B-FE50-4369-BB8C-434C09EB69E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GH = 2076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445480</xdr:colOff>
      <xdr:row>21</xdr:row>
      <xdr:rowOff>262440</xdr:rowOff>
    </xdr:from>
    <xdr:to>
      <xdr:col>6</xdr:col>
      <xdr:colOff>651131</xdr:colOff>
      <xdr:row>27</xdr:row>
      <xdr:rowOff>137367</xdr:rowOff>
    </xdr:to>
    <xdr:sp macro="" textlink="Tabelle3!B12">
      <xdr:nvSpPr>
        <xdr:cNvPr id="30" name="Textfeld 29"/>
        <xdr:cNvSpPr txBox="1"/>
      </xdr:nvSpPr>
      <xdr:spPr>
        <a:xfrm rot="16200000">
          <a:off x="3225455" y="4407140"/>
          <a:ext cx="1237002" cy="20565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B5132DC5-FA0D-47F3-BF21-01A410C372D8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Fallenhöhe = 1050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1123542</xdr:colOff>
      <xdr:row>28</xdr:row>
      <xdr:rowOff>68504</xdr:rowOff>
    </xdr:from>
    <xdr:to>
      <xdr:col>7</xdr:col>
      <xdr:colOff>97735</xdr:colOff>
      <xdr:row>29</xdr:row>
      <xdr:rowOff>104775</xdr:rowOff>
    </xdr:to>
    <xdr:sp macro="" textlink="Tabelle3!B13">
      <xdr:nvSpPr>
        <xdr:cNvPr id="31" name="Textfeld 30"/>
        <xdr:cNvSpPr txBox="1"/>
      </xdr:nvSpPr>
      <xdr:spPr>
        <a:xfrm>
          <a:off x="4419192" y="5535854"/>
          <a:ext cx="355318" cy="2267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891E082-ED5C-4BEF-8A61-46E8A6E82A95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8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5</xdr:col>
      <xdr:colOff>214526</xdr:colOff>
      <xdr:row>27</xdr:row>
      <xdr:rowOff>233327</xdr:rowOff>
    </xdr:from>
    <xdr:to>
      <xdr:col>6</xdr:col>
      <xdr:colOff>351182</xdr:colOff>
      <xdr:row>27</xdr:row>
      <xdr:rowOff>374374</xdr:rowOff>
    </xdr:to>
    <xdr:sp macro="" textlink="Tabelle3!B15">
      <xdr:nvSpPr>
        <xdr:cNvPr id="32" name="Textfeld 31"/>
        <xdr:cNvSpPr txBox="1"/>
      </xdr:nvSpPr>
      <xdr:spPr>
        <a:xfrm>
          <a:off x="3129176" y="5224427"/>
          <a:ext cx="517656" cy="1410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FB1E1AA8-0466-429B-BE13-3DE6C6BA6217}" type="TxLink">
            <a:rPr lang="en-US" sz="700" b="0" i="0" u="none" strike="noStrike">
              <a:solidFill>
                <a:srgbClr val="000000"/>
              </a:solidFill>
              <a:latin typeface="Calibri"/>
            </a:rPr>
            <a:pPr algn="ctr"/>
            <a:t>FFOK</a:t>
          </a:fld>
          <a:endParaRPr lang="de-AT" sz="7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6</xdr:col>
      <xdr:colOff>293625</xdr:colOff>
      <xdr:row>28</xdr:row>
      <xdr:rowOff>75129</xdr:rowOff>
    </xdr:from>
    <xdr:to>
      <xdr:col>6</xdr:col>
      <xdr:colOff>811281</xdr:colOff>
      <xdr:row>29</xdr:row>
      <xdr:rowOff>120925</xdr:rowOff>
    </xdr:to>
    <xdr:sp macro="" textlink="Tabelle3!B17">
      <xdr:nvSpPr>
        <xdr:cNvPr id="33" name="Textfeld 32"/>
        <xdr:cNvSpPr txBox="1"/>
      </xdr:nvSpPr>
      <xdr:spPr>
        <a:xfrm>
          <a:off x="3589275" y="5542479"/>
          <a:ext cx="517656" cy="23629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424A82D8-CC2A-4582-A902-A6FB1AB0E368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3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723899</xdr:colOff>
      <xdr:row>12</xdr:row>
      <xdr:rowOff>85723</xdr:rowOff>
    </xdr:from>
    <xdr:to>
      <xdr:col>7</xdr:col>
      <xdr:colOff>971552</xdr:colOff>
      <xdr:row>15</xdr:row>
      <xdr:rowOff>57149</xdr:rowOff>
    </xdr:to>
    <xdr:sp macro="" textlink="Tabelle3!B16">
      <xdr:nvSpPr>
        <xdr:cNvPr id="37" name="Textfeld 36"/>
        <xdr:cNvSpPr txBox="1"/>
      </xdr:nvSpPr>
      <xdr:spPr>
        <a:xfrm rot="16200000">
          <a:off x="5286375" y="2314572"/>
          <a:ext cx="476251" cy="24765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94BD61C-9A22-478E-B1FE-4CB68B8E320C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723900</xdr:colOff>
      <xdr:row>8</xdr:row>
      <xdr:rowOff>146070</xdr:rowOff>
    </xdr:from>
    <xdr:to>
      <xdr:col>7</xdr:col>
      <xdr:colOff>954694</xdr:colOff>
      <xdr:row>12</xdr:row>
      <xdr:rowOff>57150</xdr:rowOff>
    </xdr:to>
    <xdr:sp macro="" textlink="Tabelle3!B14">
      <xdr:nvSpPr>
        <xdr:cNvPr id="38" name="Textfeld 37"/>
        <xdr:cNvSpPr txBox="1"/>
      </xdr:nvSpPr>
      <xdr:spPr>
        <a:xfrm rot="16200000">
          <a:off x="5246207" y="1786438"/>
          <a:ext cx="539730" cy="230794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992F061-DA55-43E2-BBEF-965C6B51C45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300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723904</xdr:colOff>
      <xdr:row>27</xdr:row>
      <xdr:rowOff>41171</xdr:rowOff>
    </xdr:from>
    <xdr:to>
      <xdr:col>7</xdr:col>
      <xdr:colOff>971554</xdr:colOff>
      <xdr:row>27</xdr:row>
      <xdr:rowOff>438149</xdr:rowOff>
    </xdr:to>
    <xdr:sp macro="" textlink="Tabelle3!B14">
      <xdr:nvSpPr>
        <xdr:cNvPr id="39" name="Textfeld 38"/>
        <xdr:cNvSpPr txBox="1"/>
      </xdr:nvSpPr>
      <xdr:spPr>
        <a:xfrm rot="16200000">
          <a:off x="5326015" y="5106935"/>
          <a:ext cx="396978" cy="2476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992F061-DA55-43E2-BBEF-965C6B51C45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300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7</xdr:col>
      <xdr:colOff>462173</xdr:colOff>
      <xdr:row>28</xdr:row>
      <xdr:rowOff>76200</xdr:rowOff>
    </xdr:from>
    <xdr:to>
      <xdr:col>7</xdr:col>
      <xdr:colOff>838199</xdr:colOff>
      <xdr:row>29</xdr:row>
      <xdr:rowOff>152400</xdr:rowOff>
    </xdr:to>
    <xdr:sp macro="" textlink="Tabelle3!B17">
      <xdr:nvSpPr>
        <xdr:cNvPr id="40" name="Textfeld 39"/>
        <xdr:cNvSpPr txBox="1"/>
      </xdr:nvSpPr>
      <xdr:spPr>
        <a:xfrm rot="10800000" flipV="1">
          <a:off x="5138948" y="5543550"/>
          <a:ext cx="376026" cy="2667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424A82D8-CC2A-4582-A902-A6FB1AB0E368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3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296873</xdr:colOff>
      <xdr:row>26</xdr:row>
      <xdr:rowOff>74000</xdr:rowOff>
    </xdr:from>
    <xdr:to>
      <xdr:col>9</xdr:col>
      <xdr:colOff>495300</xdr:colOff>
      <xdr:row>28</xdr:row>
      <xdr:rowOff>67854</xdr:rowOff>
    </xdr:to>
    <xdr:sp macro="" textlink="Tabelle3!A18">
      <xdr:nvSpPr>
        <xdr:cNvPr id="46" name="Textfeld 45"/>
        <xdr:cNvSpPr txBox="1"/>
      </xdr:nvSpPr>
      <xdr:spPr>
        <a:xfrm rot="16200000" flipH="1">
          <a:off x="6504685" y="5200938"/>
          <a:ext cx="660604" cy="19842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5DA18937-3CD2-48B4-B491-8709DCD200A9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791552</xdr:colOff>
      <xdr:row>22</xdr:row>
      <xdr:rowOff>28467</xdr:rowOff>
    </xdr:from>
    <xdr:to>
      <xdr:col>10</xdr:col>
      <xdr:colOff>1038227</xdr:colOff>
      <xdr:row>25</xdr:row>
      <xdr:rowOff>66678</xdr:rowOff>
    </xdr:to>
    <xdr:sp macro="" textlink="Tabelle3!A20">
      <xdr:nvSpPr>
        <xdr:cNvPr id="49" name="Textfeld 48"/>
        <xdr:cNvSpPr txBox="1"/>
      </xdr:nvSpPr>
      <xdr:spPr>
        <a:xfrm rot="16200000" flipH="1">
          <a:off x="8430059" y="4315260"/>
          <a:ext cx="609711" cy="24667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E1A5C24-4C64-48AE-A35C-F48977F6B8D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940249</xdr:colOff>
      <xdr:row>27</xdr:row>
      <xdr:rowOff>471405</xdr:rowOff>
    </xdr:from>
    <xdr:to>
      <xdr:col>10</xdr:col>
      <xdr:colOff>323850</xdr:colOff>
      <xdr:row>29</xdr:row>
      <xdr:rowOff>61897</xdr:rowOff>
    </xdr:to>
    <xdr:sp macro="" textlink="Tabelle3!A8">
      <xdr:nvSpPr>
        <xdr:cNvPr id="50" name="Textfeld 49"/>
        <xdr:cNvSpPr txBox="1"/>
      </xdr:nvSpPr>
      <xdr:spPr>
        <a:xfrm>
          <a:off x="7379149" y="5462505"/>
          <a:ext cx="764726" cy="25724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D8CB819E-CEED-4FAC-B67A-4593D35FBF3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12113</xdr:colOff>
      <xdr:row>17</xdr:row>
      <xdr:rowOff>19059</xdr:rowOff>
    </xdr:from>
    <xdr:to>
      <xdr:col>9</xdr:col>
      <xdr:colOff>238128</xdr:colOff>
      <xdr:row>21</xdr:row>
      <xdr:rowOff>428635</xdr:rowOff>
    </xdr:to>
    <xdr:sp macro="" textlink="Tabelle3!A24">
      <xdr:nvSpPr>
        <xdr:cNvPr id="52" name="Textfeld 51"/>
        <xdr:cNvSpPr txBox="1"/>
      </xdr:nvSpPr>
      <xdr:spPr>
        <a:xfrm rot="16200000" flipH="1">
          <a:off x="6011570" y="3392202"/>
          <a:ext cx="1104901" cy="22601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AB802C9F-A130-46EB-A376-85B4A6DE8899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74139</xdr:colOff>
      <xdr:row>19</xdr:row>
      <xdr:rowOff>101118</xdr:rowOff>
    </xdr:from>
    <xdr:to>
      <xdr:col>9</xdr:col>
      <xdr:colOff>333379</xdr:colOff>
      <xdr:row>22</xdr:row>
      <xdr:rowOff>19057</xdr:rowOff>
    </xdr:to>
    <xdr:sp macro="" textlink="Tabelle3!A22">
      <xdr:nvSpPr>
        <xdr:cNvPr id="53" name="Textfeld 52"/>
        <xdr:cNvSpPr txBox="1"/>
      </xdr:nvSpPr>
      <xdr:spPr>
        <a:xfrm rot="16200000" flipH="1">
          <a:off x="6255064" y="3607118"/>
          <a:ext cx="775189" cy="259240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B92F279D-38C5-4660-AD01-C8749F2AEF5E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118098</xdr:colOff>
      <xdr:row>19</xdr:row>
      <xdr:rowOff>156066</xdr:rowOff>
    </xdr:from>
    <xdr:to>
      <xdr:col>9</xdr:col>
      <xdr:colOff>326403</xdr:colOff>
      <xdr:row>21</xdr:row>
      <xdr:rowOff>436403</xdr:rowOff>
    </xdr:to>
    <xdr:sp macro="" textlink="Tabelle3!A21">
      <xdr:nvSpPr>
        <xdr:cNvPr id="55" name="Textfeld 54"/>
        <xdr:cNvSpPr txBox="1"/>
      </xdr:nvSpPr>
      <xdr:spPr>
        <a:xfrm rot="16200000" flipH="1">
          <a:off x="6330482" y="3630607"/>
          <a:ext cx="661337" cy="208305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8F4F9875-6D2A-4CFC-9540-88A9616F9B6A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193566</xdr:colOff>
      <xdr:row>21</xdr:row>
      <xdr:rowOff>75469</xdr:rowOff>
    </xdr:from>
    <xdr:to>
      <xdr:col>9</xdr:col>
      <xdr:colOff>401871</xdr:colOff>
      <xdr:row>23</xdr:row>
      <xdr:rowOff>70056</xdr:rowOff>
    </xdr:to>
    <xdr:sp macro="" textlink="Tabelle3!A23">
      <xdr:nvSpPr>
        <xdr:cNvPr id="56" name="Textfeld 55"/>
        <xdr:cNvSpPr txBox="1"/>
      </xdr:nvSpPr>
      <xdr:spPr>
        <a:xfrm rot="16200000" flipH="1">
          <a:off x="6405950" y="3931010"/>
          <a:ext cx="661337" cy="208305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A6348C8-453B-4362-A433-C844552E1EF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241058</xdr:colOff>
      <xdr:row>26</xdr:row>
      <xdr:rowOff>57150</xdr:rowOff>
    </xdr:from>
    <xdr:to>
      <xdr:col>9</xdr:col>
      <xdr:colOff>449363</xdr:colOff>
      <xdr:row>28</xdr:row>
      <xdr:rowOff>51004</xdr:rowOff>
    </xdr:to>
    <xdr:sp macro="" textlink="Tabelle3!A19">
      <xdr:nvSpPr>
        <xdr:cNvPr id="58" name="Textfeld 57"/>
        <xdr:cNvSpPr txBox="1"/>
      </xdr:nvSpPr>
      <xdr:spPr>
        <a:xfrm rot="16200000" flipH="1">
          <a:off x="6453809" y="5083899"/>
          <a:ext cx="660604" cy="208305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07CFD99D-ADF3-4B36-BBE5-2DE6596EAE6B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8</xdr:col>
      <xdr:colOff>339631</xdr:colOff>
      <xdr:row>18</xdr:row>
      <xdr:rowOff>114317</xdr:rowOff>
    </xdr:from>
    <xdr:to>
      <xdr:col>9</xdr:col>
      <xdr:colOff>209550</xdr:colOff>
      <xdr:row>21</xdr:row>
      <xdr:rowOff>219080</xdr:rowOff>
    </xdr:to>
    <xdr:sp macro="" textlink="Tabelle3!A25">
      <xdr:nvSpPr>
        <xdr:cNvPr id="59" name="Textfeld 58"/>
        <xdr:cNvSpPr txBox="1"/>
      </xdr:nvSpPr>
      <xdr:spPr>
        <a:xfrm rot="16200000" flipH="1">
          <a:off x="6184859" y="3384514"/>
          <a:ext cx="676263" cy="25091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E55E0BFE-8D01-49EA-93B1-531134832E04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447052</xdr:colOff>
      <xdr:row>25</xdr:row>
      <xdr:rowOff>122248</xdr:rowOff>
    </xdr:from>
    <xdr:to>
      <xdr:col>10</xdr:col>
      <xdr:colOff>723900</xdr:colOff>
      <xdr:row>28</xdr:row>
      <xdr:rowOff>95250</xdr:rowOff>
    </xdr:to>
    <xdr:sp macro="" textlink="Tabelle3!B18">
      <xdr:nvSpPr>
        <xdr:cNvPr id="60" name="Textfeld 59"/>
        <xdr:cNvSpPr txBox="1"/>
      </xdr:nvSpPr>
      <xdr:spPr>
        <a:xfrm rot="16200000" flipH="1">
          <a:off x="8023712" y="5042388"/>
          <a:ext cx="763577" cy="276848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5E108869-E285-42CA-BF91-B24A6484DE6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447051</xdr:colOff>
      <xdr:row>26</xdr:row>
      <xdr:rowOff>5749</xdr:rowOff>
    </xdr:from>
    <xdr:to>
      <xdr:col>10</xdr:col>
      <xdr:colOff>695324</xdr:colOff>
      <xdr:row>28</xdr:row>
      <xdr:rowOff>95251</xdr:rowOff>
    </xdr:to>
    <xdr:sp macro="" textlink="Tabelle3!B19">
      <xdr:nvSpPr>
        <xdr:cNvPr id="61" name="Textfeld 60"/>
        <xdr:cNvSpPr txBox="1"/>
      </xdr:nvSpPr>
      <xdr:spPr>
        <a:xfrm rot="16200000" flipH="1">
          <a:off x="8013087" y="5060338"/>
          <a:ext cx="756252" cy="248273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9DDD832-E988-4669-BF25-A4DB6A0736B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292,5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643508</xdr:colOff>
      <xdr:row>28</xdr:row>
      <xdr:rowOff>2483</xdr:rowOff>
    </xdr:from>
    <xdr:to>
      <xdr:col>10</xdr:col>
      <xdr:colOff>99195</xdr:colOff>
      <xdr:row>29</xdr:row>
      <xdr:rowOff>69225</xdr:rowOff>
    </xdr:to>
    <xdr:sp macro="" textlink="Tabelle3!B8">
      <xdr:nvSpPr>
        <xdr:cNvPr id="62" name="Textfeld 61"/>
        <xdr:cNvSpPr txBox="1"/>
      </xdr:nvSpPr>
      <xdr:spPr>
        <a:xfrm>
          <a:off x="7082408" y="5469833"/>
          <a:ext cx="836812" cy="257242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E50C7F3-9858-4454-996E-F6C642F00601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GB = 867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8</xdr:col>
      <xdr:colOff>339374</xdr:colOff>
      <xdr:row>21</xdr:row>
      <xdr:rowOff>438157</xdr:rowOff>
    </xdr:from>
    <xdr:to>
      <xdr:col>9</xdr:col>
      <xdr:colOff>200025</xdr:colOff>
      <xdr:row>26</xdr:row>
      <xdr:rowOff>28578</xdr:rowOff>
    </xdr:to>
    <xdr:sp macro="" textlink="Tabelle3!B20">
      <xdr:nvSpPr>
        <xdr:cNvPr id="63" name="Textfeld 62"/>
        <xdr:cNvSpPr txBox="1"/>
      </xdr:nvSpPr>
      <xdr:spPr>
        <a:xfrm rot="16200000" flipH="1">
          <a:off x="6137102" y="4327354"/>
          <a:ext cx="761996" cy="24165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3759FA5E-2EB4-47D6-BE69-A50E0CD0AD87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1042,5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560753</xdr:colOff>
      <xdr:row>20</xdr:row>
      <xdr:rowOff>109063</xdr:rowOff>
    </xdr:from>
    <xdr:to>
      <xdr:col>10</xdr:col>
      <xdr:colOff>819152</xdr:colOff>
      <xdr:row>24</xdr:row>
      <xdr:rowOff>9528</xdr:rowOff>
    </xdr:to>
    <xdr:sp macro="" textlink="Tabelle3!B23">
      <xdr:nvSpPr>
        <xdr:cNvPr id="65" name="Textfeld 64"/>
        <xdr:cNvSpPr txBox="1"/>
      </xdr:nvSpPr>
      <xdr:spPr>
        <a:xfrm rot="16200000" flipH="1">
          <a:off x="8035870" y="3892496"/>
          <a:ext cx="948215" cy="258399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DEF07356-FE99-4A09-9610-71F731EAC368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560757</xdr:colOff>
      <xdr:row>19</xdr:row>
      <xdr:rowOff>68770</xdr:rowOff>
    </xdr:from>
    <xdr:to>
      <xdr:col>10</xdr:col>
      <xdr:colOff>990605</xdr:colOff>
      <xdr:row>22</xdr:row>
      <xdr:rowOff>47631</xdr:rowOff>
    </xdr:to>
    <xdr:sp macro="" textlink="Tabelle3!B21">
      <xdr:nvSpPr>
        <xdr:cNvPr id="66" name="Textfeld 65"/>
        <xdr:cNvSpPr txBox="1"/>
      </xdr:nvSpPr>
      <xdr:spPr>
        <a:xfrm rot="16200000" flipH="1">
          <a:off x="8177650" y="3519927"/>
          <a:ext cx="836111" cy="429848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F590F91-FD20-42D4-A504-1EBDA261ADA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1789,5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680334</xdr:colOff>
      <xdr:row>16</xdr:row>
      <xdr:rowOff>87938</xdr:rowOff>
    </xdr:from>
    <xdr:to>
      <xdr:col>10</xdr:col>
      <xdr:colOff>942975</xdr:colOff>
      <xdr:row>22</xdr:row>
      <xdr:rowOff>114300</xdr:rowOff>
    </xdr:to>
    <xdr:sp macro="" textlink="Tabelle3!B24">
      <xdr:nvSpPr>
        <xdr:cNvPr id="67" name="Textfeld 66"/>
        <xdr:cNvSpPr txBox="1"/>
      </xdr:nvSpPr>
      <xdr:spPr>
        <a:xfrm rot="16200000" flipH="1">
          <a:off x="7937461" y="3394036"/>
          <a:ext cx="1388437" cy="26264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75ECE7B8-8D17-4F44-9860-329A81DA49EB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GH = 2076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792437</xdr:colOff>
      <xdr:row>16</xdr:row>
      <xdr:rowOff>152416</xdr:rowOff>
    </xdr:from>
    <xdr:to>
      <xdr:col>10</xdr:col>
      <xdr:colOff>1057276</xdr:colOff>
      <xdr:row>22</xdr:row>
      <xdr:rowOff>38101</xdr:rowOff>
    </xdr:to>
    <xdr:sp macro="" textlink="Tabelle3!B25">
      <xdr:nvSpPr>
        <xdr:cNvPr id="68" name="Textfeld 67"/>
        <xdr:cNvSpPr txBox="1"/>
      </xdr:nvSpPr>
      <xdr:spPr>
        <a:xfrm rot="16200000" flipH="1">
          <a:off x="8121002" y="3387076"/>
          <a:ext cx="1247760" cy="26483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B3C66F3D-2C52-4A9E-897A-5E0B7387ED96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10</xdr:col>
      <xdr:colOff>680183</xdr:colOff>
      <xdr:row>19</xdr:row>
      <xdr:rowOff>48981</xdr:rowOff>
    </xdr:from>
    <xdr:to>
      <xdr:col>10</xdr:col>
      <xdr:colOff>952502</xdr:colOff>
      <xdr:row>22</xdr:row>
      <xdr:rowOff>66678</xdr:rowOff>
    </xdr:to>
    <xdr:sp macro="" textlink="Tabelle3!B22">
      <xdr:nvSpPr>
        <xdr:cNvPr id="69" name="Textfeld 68"/>
        <xdr:cNvSpPr txBox="1"/>
      </xdr:nvSpPr>
      <xdr:spPr>
        <a:xfrm rot="16200000" flipH="1">
          <a:off x="8198894" y="3598320"/>
          <a:ext cx="874947" cy="272319"/>
        </a:xfrm>
        <a:prstGeom prst="rect">
          <a:avLst/>
        </a:prstGeom>
        <a:solidFill>
          <a:schemeClr val="accent2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8FA40BFB-3E61-4529-822A-25DC54E04D80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441284</xdr:colOff>
      <xdr:row>10</xdr:row>
      <xdr:rowOff>80882</xdr:rowOff>
    </xdr:from>
    <xdr:to>
      <xdr:col>10</xdr:col>
      <xdr:colOff>372940</xdr:colOff>
      <xdr:row>12</xdr:row>
      <xdr:rowOff>23066</xdr:rowOff>
    </xdr:to>
    <xdr:sp macro="" textlink="Tabelle3!B26">
      <xdr:nvSpPr>
        <xdr:cNvPr id="70" name="Textfeld 69"/>
        <xdr:cNvSpPr txBox="1"/>
      </xdr:nvSpPr>
      <xdr:spPr>
        <a:xfrm>
          <a:off x="6880184" y="1881107"/>
          <a:ext cx="1312781" cy="25650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92162CE8-BA7B-4E5C-8852-E6320944F81A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8mm ESG, KP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xdr:twoCellAnchor>
    <xdr:from>
      <xdr:col>9</xdr:col>
      <xdr:colOff>863315</xdr:colOff>
      <xdr:row>10</xdr:row>
      <xdr:rowOff>80883</xdr:rowOff>
    </xdr:from>
    <xdr:to>
      <xdr:col>10</xdr:col>
      <xdr:colOff>490171</xdr:colOff>
      <xdr:row>12</xdr:row>
      <xdr:rowOff>23067</xdr:rowOff>
    </xdr:to>
    <xdr:sp macro="" textlink="Tabelle3!A26">
      <xdr:nvSpPr>
        <xdr:cNvPr id="71" name="Textfeld 70"/>
        <xdr:cNvSpPr txBox="1"/>
      </xdr:nvSpPr>
      <xdr:spPr>
        <a:xfrm>
          <a:off x="7302215" y="1881108"/>
          <a:ext cx="1007981" cy="256509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4F79AA2B-3BEA-4496-9066-E288F0B9A385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 </a:t>
          </a:fld>
          <a:endParaRPr lang="de-AT" sz="900" b="1">
            <a:latin typeface="ISOCPEUR" panose="020B0604020202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57152</xdr:colOff>
          <xdr:row>2</xdr:row>
          <xdr:rowOff>19050</xdr:rowOff>
        </xdr:from>
        <xdr:to>
          <xdr:col>9</xdr:col>
          <xdr:colOff>276226</xdr:colOff>
          <xdr:row>2</xdr:row>
          <xdr:rowOff>228600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</xdr:row>
          <xdr:rowOff>19050</xdr:rowOff>
        </xdr:from>
        <xdr:to>
          <xdr:col>10</xdr:col>
          <xdr:colOff>266700</xdr:colOff>
          <xdr:row>2</xdr:row>
          <xdr:rowOff>228600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4920413</xdr:colOff>
      <xdr:row>2</xdr:row>
      <xdr:rowOff>3666375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595313"/>
          <a:ext cx="4920413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4932922</xdr:colOff>
      <xdr:row>4</xdr:row>
      <xdr:rowOff>3666375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310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4920413</xdr:colOff>
      <xdr:row>6</xdr:row>
      <xdr:rowOff>3666375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6025813"/>
          <a:ext cx="4920413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4932922</xdr:colOff>
      <xdr:row>8</xdr:row>
      <xdr:rowOff>3666375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3741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</xdr:row>
      <xdr:rowOff>0</xdr:rowOff>
    </xdr:from>
    <xdr:to>
      <xdr:col>1</xdr:col>
      <xdr:colOff>4926686</xdr:colOff>
      <xdr:row>10</xdr:row>
      <xdr:rowOff>3666375</xdr:rowOff>
    </xdr:to>
    <xdr:pic>
      <xdr:nvPicPr>
        <xdr:cNvPr id="68" name="Grafik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145631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</xdr:row>
      <xdr:rowOff>0</xdr:rowOff>
    </xdr:from>
    <xdr:to>
      <xdr:col>1</xdr:col>
      <xdr:colOff>4926686</xdr:colOff>
      <xdr:row>14</xdr:row>
      <xdr:rowOff>3666375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688681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</xdr:row>
      <xdr:rowOff>0</xdr:rowOff>
    </xdr:from>
    <xdr:to>
      <xdr:col>1</xdr:col>
      <xdr:colOff>4926686</xdr:colOff>
      <xdr:row>12</xdr:row>
      <xdr:rowOff>3666375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917156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4926686</xdr:colOff>
      <xdr:row>16</xdr:row>
      <xdr:rowOff>3666375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460206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4926686</xdr:colOff>
      <xdr:row>18</xdr:row>
      <xdr:rowOff>3666375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231731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1</xdr:col>
      <xdr:colOff>4926686</xdr:colOff>
      <xdr:row>22</xdr:row>
      <xdr:rowOff>3666375</xdr:rowOff>
    </xdr:to>
    <xdr:pic>
      <xdr:nvPicPr>
        <xdr:cNvPr id="78" name="Grafik 7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77747813"/>
          <a:ext cx="4926685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4932922</xdr:colOff>
      <xdr:row>20</xdr:row>
      <xdr:rowOff>3666375</xdr:rowOff>
    </xdr:to>
    <xdr:pic>
      <xdr:nvPicPr>
        <xdr:cNvPr id="89" name="Grafik 8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0032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4932922</xdr:colOff>
      <xdr:row>24</xdr:row>
      <xdr:rowOff>3666375</xdr:rowOff>
    </xdr:to>
    <xdr:pic>
      <xdr:nvPicPr>
        <xdr:cNvPr id="90" name="Grafik 8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5463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4932922</xdr:colOff>
      <xdr:row>26</xdr:row>
      <xdr:rowOff>3666375</xdr:rowOff>
    </xdr:to>
    <xdr:pic>
      <xdr:nvPicPr>
        <xdr:cNvPr id="92" name="Grafik 9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31783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4932922</xdr:colOff>
      <xdr:row>30</xdr:row>
      <xdr:rowOff>3666375</xdr:rowOff>
    </xdr:to>
    <xdr:pic>
      <xdr:nvPicPr>
        <xdr:cNvPr id="93" name="Grafik 9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86088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4932922</xdr:colOff>
      <xdr:row>28</xdr:row>
      <xdr:rowOff>3666375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0893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4932922</xdr:colOff>
      <xdr:row>32</xdr:row>
      <xdr:rowOff>3666375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6324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4932922</xdr:colOff>
      <xdr:row>30</xdr:row>
      <xdr:rowOff>3666375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86088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4932922</xdr:colOff>
      <xdr:row>26</xdr:row>
      <xdr:rowOff>3666375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931783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4932922</xdr:colOff>
      <xdr:row>22</xdr:row>
      <xdr:rowOff>3666375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77478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4932922</xdr:colOff>
      <xdr:row>18</xdr:row>
      <xdr:rowOff>3666375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23173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4932922</xdr:colOff>
      <xdr:row>2</xdr:row>
      <xdr:rowOff>3666375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5953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4932922</xdr:colOff>
      <xdr:row>6</xdr:row>
      <xdr:rowOff>3666375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60258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4932922</xdr:colOff>
      <xdr:row>4</xdr:row>
      <xdr:rowOff>3666375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310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4932922</xdr:colOff>
      <xdr:row>8</xdr:row>
      <xdr:rowOff>3666375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3741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4932922</xdr:colOff>
      <xdr:row>20</xdr:row>
      <xdr:rowOff>3666375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0032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4932922</xdr:colOff>
      <xdr:row>24</xdr:row>
      <xdr:rowOff>3666375</xdr:rowOff>
    </xdr:to>
    <xdr:pic>
      <xdr:nvPicPr>
        <xdr:cNvPr id="51" name="Grafik 5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5463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4932922</xdr:colOff>
      <xdr:row>28</xdr:row>
      <xdr:rowOff>3666375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0893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2</xdr:col>
      <xdr:colOff>4932922</xdr:colOff>
      <xdr:row>32</xdr:row>
      <xdr:rowOff>3666375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6324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4932922</xdr:colOff>
      <xdr:row>12</xdr:row>
      <xdr:rowOff>3666375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391715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4932922</xdr:colOff>
      <xdr:row>16</xdr:row>
      <xdr:rowOff>3666375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5460206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4932922</xdr:colOff>
      <xdr:row>14</xdr:row>
      <xdr:rowOff>3666375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46886813"/>
          <a:ext cx="4932922" cy="7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4932922</xdr:colOff>
      <xdr:row>10</xdr:row>
      <xdr:rowOff>3666375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31456313"/>
          <a:ext cx="4932922" cy="752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5"/>
  <sheetViews>
    <sheetView showGridLines="0" showRowColHeaders="0" tabSelected="1" showRuler="0" zoomScaleNormal="100" zoomScalePageLayoutView="70" workbookViewId="0">
      <selection sqref="A1:C1"/>
    </sheetView>
  </sheetViews>
  <sheetFormatPr baseColWidth="10" defaultRowHeight="15" x14ac:dyDescent="0.25"/>
  <cols>
    <col min="1" max="1" width="14.7109375" customWidth="1"/>
    <col min="2" max="2" width="6" customWidth="1"/>
    <col min="3" max="3" width="14.7109375" customWidth="1"/>
    <col min="4" max="4" width="1.7109375" customWidth="1"/>
    <col min="5" max="5" width="6.5703125" customWidth="1"/>
    <col min="6" max="6" width="5.7109375" customWidth="1"/>
    <col min="7" max="8" width="20.7109375" customWidth="1"/>
    <col min="9" max="9" width="5.7109375" customWidth="1"/>
    <col min="10" max="11" width="20.7109375" customWidth="1"/>
  </cols>
  <sheetData>
    <row r="1" spans="1:15" ht="20.100000000000001" customHeight="1" x14ac:dyDescent="0.25">
      <c r="A1" s="80"/>
      <c r="B1" s="80"/>
      <c r="C1" s="80"/>
      <c r="D1" s="81"/>
      <c r="E1" s="81"/>
      <c r="K1" s="78">
        <f ca="1">TODAY()</f>
        <v>42583</v>
      </c>
    </row>
    <row r="2" spans="1:15" ht="9.9499999999999993" customHeight="1" x14ac:dyDescent="0.25">
      <c r="A2" s="55" t="s">
        <v>52</v>
      </c>
      <c r="C2" s="58"/>
      <c r="E2" s="58" t="s">
        <v>73</v>
      </c>
      <c r="K2" s="78"/>
    </row>
    <row r="3" spans="1:15" ht="20.100000000000001" customHeight="1" x14ac:dyDescent="0.25">
      <c r="A3" s="80"/>
      <c r="B3" s="80"/>
      <c r="C3" s="80"/>
      <c r="D3" s="80"/>
      <c r="E3" s="80"/>
      <c r="G3" s="80"/>
      <c r="H3" s="80"/>
      <c r="J3" s="92"/>
      <c r="K3" s="93"/>
    </row>
    <row r="4" spans="1:15" ht="9.9499999999999993" customHeight="1" x14ac:dyDescent="0.25">
      <c r="A4" s="55" t="s">
        <v>74</v>
      </c>
      <c r="G4" s="55" t="s">
        <v>53</v>
      </c>
      <c r="H4" s="55"/>
      <c r="J4" s="55" t="s">
        <v>82</v>
      </c>
      <c r="K4" s="55" t="s">
        <v>83</v>
      </c>
    </row>
    <row r="5" spans="1:15" ht="20.100000000000001" customHeight="1" x14ac:dyDescent="0.25">
      <c r="A5" s="80"/>
      <c r="B5" s="80"/>
      <c r="C5" s="80"/>
      <c r="D5" s="80"/>
      <c r="E5" s="80"/>
      <c r="G5" s="80"/>
      <c r="H5" s="80"/>
      <c r="J5" s="84"/>
      <c r="K5" s="85"/>
      <c r="L5" s="90"/>
      <c r="M5" s="90"/>
      <c r="N5" s="90"/>
      <c r="O5" s="90"/>
    </row>
    <row r="6" spans="1:15" ht="9.9499999999999993" customHeight="1" x14ac:dyDescent="0.25">
      <c r="A6" s="55" t="s">
        <v>72</v>
      </c>
      <c r="B6" s="55"/>
      <c r="C6" s="55"/>
      <c r="G6" s="55" t="s">
        <v>75</v>
      </c>
      <c r="H6" s="55"/>
      <c r="J6" s="55" t="s">
        <v>78</v>
      </c>
      <c r="K6" s="55" t="s">
        <v>79</v>
      </c>
      <c r="L6" s="90"/>
      <c r="M6" s="90"/>
      <c r="N6" s="90"/>
      <c r="O6" s="90"/>
    </row>
    <row r="7" spans="1:15" ht="20.100000000000001" customHeight="1" x14ac:dyDescent="0.3">
      <c r="A7" s="77" t="s">
        <v>76</v>
      </c>
      <c r="B7" s="77"/>
      <c r="C7" s="77"/>
      <c r="E7" s="1"/>
      <c r="F7" s="1"/>
      <c r="G7" s="82"/>
      <c r="H7" s="82"/>
      <c r="J7" s="83"/>
      <c r="K7" s="85"/>
      <c r="L7" s="90"/>
      <c r="M7" s="90"/>
      <c r="N7" s="90"/>
      <c r="O7" s="90"/>
    </row>
    <row r="8" spans="1:15" ht="9.9499999999999993" customHeight="1" x14ac:dyDescent="0.25">
      <c r="G8" s="55" t="s">
        <v>77</v>
      </c>
      <c r="H8" s="55"/>
      <c r="J8" s="55" t="s">
        <v>90</v>
      </c>
      <c r="K8" s="55"/>
      <c r="L8" s="90"/>
      <c r="M8" s="90"/>
      <c r="N8" s="90"/>
      <c r="O8" s="90"/>
    </row>
    <row r="9" spans="1:15" x14ac:dyDescent="0.25">
      <c r="A9" s="35" t="s">
        <v>5</v>
      </c>
      <c r="B9" s="36"/>
      <c r="C9" s="86" t="s">
        <v>7</v>
      </c>
      <c r="L9" s="90"/>
      <c r="M9" s="90"/>
      <c r="N9" s="90"/>
      <c r="O9" s="90"/>
    </row>
    <row r="10" spans="1:15" ht="9.9499999999999993" customHeight="1" x14ac:dyDescent="0.25">
      <c r="A10" s="37"/>
      <c r="B10" s="37"/>
      <c r="C10" s="37"/>
      <c r="L10" s="90"/>
      <c r="M10" s="90"/>
      <c r="N10" s="90"/>
      <c r="O10" s="90"/>
    </row>
    <row r="11" spans="1:15" x14ac:dyDescent="0.25">
      <c r="A11" s="35" t="s">
        <v>50</v>
      </c>
      <c r="B11" s="36"/>
      <c r="C11" s="87">
        <v>8</v>
      </c>
      <c r="L11" s="90"/>
      <c r="M11" s="90"/>
      <c r="N11" s="90"/>
      <c r="O11" s="90"/>
    </row>
    <row r="12" spans="1:15" ht="9.9499999999999993" customHeight="1" x14ac:dyDescent="0.25">
      <c r="A12" s="37"/>
      <c r="B12" s="37"/>
      <c r="C12" s="37"/>
      <c r="L12" s="90"/>
      <c r="M12" s="90"/>
      <c r="N12" s="90"/>
      <c r="O12" s="90"/>
    </row>
    <row r="13" spans="1:15" x14ac:dyDescent="0.25">
      <c r="A13" s="35" t="s">
        <v>49</v>
      </c>
      <c r="B13" s="36"/>
      <c r="C13" s="87">
        <v>1050</v>
      </c>
      <c r="L13" s="90"/>
      <c r="M13" s="90"/>
      <c r="N13" s="90"/>
      <c r="O13" s="90"/>
    </row>
    <row r="14" spans="1:15" ht="9.9499999999999993" customHeight="1" x14ac:dyDescent="0.25">
      <c r="A14" s="38"/>
      <c r="B14" s="39"/>
      <c r="C14" s="37"/>
      <c r="L14" s="90"/>
      <c r="M14" s="90"/>
      <c r="N14" s="90"/>
      <c r="O14" s="90"/>
    </row>
    <row r="15" spans="1:15" ht="15" customHeight="1" x14ac:dyDescent="0.25">
      <c r="A15" s="35" t="s">
        <v>48</v>
      </c>
      <c r="B15" s="36"/>
      <c r="C15" s="87">
        <v>3</v>
      </c>
      <c r="D15" s="31"/>
      <c r="L15" s="90"/>
      <c r="M15" s="90"/>
      <c r="N15" s="90"/>
      <c r="O15" s="90"/>
    </row>
    <row r="16" spans="1:15" ht="9.9499999999999993" customHeight="1" x14ac:dyDescent="0.25">
      <c r="A16" s="37"/>
      <c r="B16" s="37"/>
      <c r="C16" s="37"/>
      <c r="D16" s="31"/>
      <c r="L16" s="90"/>
      <c r="M16" s="90"/>
      <c r="N16" s="90"/>
      <c r="O16" s="90"/>
    </row>
    <row r="17" spans="1:15" ht="15" customHeight="1" x14ac:dyDescent="0.25">
      <c r="A17" s="35" t="s">
        <v>8</v>
      </c>
      <c r="B17" s="36"/>
      <c r="C17" s="86" t="s">
        <v>10</v>
      </c>
      <c r="D17" s="31"/>
      <c r="L17" s="90"/>
      <c r="M17" s="90"/>
      <c r="N17" s="90"/>
      <c r="O17" s="90"/>
    </row>
    <row r="18" spans="1:15" ht="9.9499999999999993" customHeight="1" x14ac:dyDescent="0.25">
      <c r="A18" s="37"/>
      <c r="B18" s="37"/>
      <c r="C18" s="38"/>
      <c r="D18" s="30"/>
      <c r="E18" s="30"/>
      <c r="F18" s="54"/>
      <c r="G18" s="54"/>
      <c r="H18" s="56"/>
      <c r="K18" s="31"/>
      <c r="L18" s="90"/>
      <c r="M18" s="90"/>
      <c r="N18" s="90"/>
      <c r="O18" s="90"/>
    </row>
    <row r="19" spans="1:15" ht="15" customHeight="1" x14ac:dyDescent="0.25">
      <c r="A19" s="65" t="s">
        <v>85</v>
      </c>
      <c r="B19" s="66"/>
      <c r="C19" s="67"/>
      <c r="D19" s="31"/>
      <c r="E19" s="31"/>
      <c r="F19" s="31"/>
      <c r="G19" s="31"/>
      <c r="H19" s="31"/>
      <c r="L19" s="90"/>
      <c r="M19" s="90"/>
      <c r="N19" s="90"/>
      <c r="O19" s="90"/>
    </row>
    <row r="20" spans="1:15" ht="15" customHeight="1" x14ac:dyDescent="0.25">
      <c r="A20" s="44" t="s">
        <v>58</v>
      </c>
      <c r="B20" s="45" t="s">
        <v>0</v>
      </c>
      <c r="C20" s="46" t="s">
        <v>59</v>
      </c>
      <c r="D20" s="31"/>
      <c r="E20" s="31"/>
      <c r="F20" s="31"/>
      <c r="G20" s="31"/>
      <c r="H20" s="31"/>
      <c r="L20" s="90"/>
      <c r="M20" s="90"/>
      <c r="N20" s="90"/>
      <c r="O20" s="90"/>
    </row>
    <row r="21" spans="1:15" ht="15" customHeight="1" x14ac:dyDescent="0.25">
      <c r="A21" s="88">
        <v>900</v>
      </c>
      <c r="B21" s="47" t="s">
        <v>0</v>
      </c>
      <c r="C21" s="89">
        <v>2100</v>
      </c>
      <c r="D21" s="34"/>
      <c r="E21" s="34"/>
      <c r="F21" s="34"/>
      <c r="G21" s="34"/>
      <c r="H21" s="34"/>
      <c r="L21" s="90"/>
      <c r="M21" s="90"/>
      <c r="N21" s="90"/>
      <c r="O21" s="90"/>
    </row>
    <row r="22" spans="1:15" ht="38.1" customHeight="1" x14ac:dyDescent="0.25">
      <c r="A22" s="38"/>
      <c r="B22" s="39"/>
      <c r="C22" s="37"/>
      <c r="E22" s="2"/>
      <c r="F22" s="2"/>
      <c r="G22" s="2"/>
      <c r="H22" s="2"/>
      <c r="L22" s="90"/>
      <c r="M22" s="90"/>
      <c r="N22" s="90"/>
      <c r="O22" s="90"/>
    </row>
    <row r="23" spans="1:15" ht="15" customHeight="1" x14ac:dyDescent="0.25">
      <c r="A23" s="68" t="s">
        <v>84</v>
      </c>
      <c r="B23" s="69"/>
      <c r="C23" s="70"/>
      <c r="D23" s="31"/>
      <c r="E23" s="31"/>
      <c r="F23" s="31"/>
      <c r="G23" s="31"/>
      <c r="H23" s="31"/>
      <c r="L23" s="90"/>
      <c r="M23" s="90"/>
      <c r="N23" s="90"/>
      <c r="O23" s="90"/>
    </row>
    <row r="24" spans="1:15" ht="15" customHeight="1" x14ac:dyDescent="0.25">
      <c r="A24" s="44" t="s">
        <v>56</v>
      </c>
      <c r="B24" s="45" t="s">
        <v>0</v>
      </c>
      <c r="C24" s="46" t="s">
        <v>57</v>
      </c>
      <c r="D24" s="31"/>
      <c r="E24" s="31"/>
      <c r="F24" s="31"/>
      <c r="G24" s="31"/>
      <c r="H24" s="31"/>
    </row>
    <row r="25" spans="1:15" ht="15" customHeight="1" x14ac:dyDescent="0.25">
      <c r="A25" s="48">
        <f>IF(A21="","",IF(A21&gt;(1200+2*C15),"XXXX",IF(A21&lt;600,"XXXX",A21-(2*C15))))</f>
        <v>894</v>
      </c>
      <c r="B25" s="47" t="s">
        <v>0</v>
      </c>
      <c r="C25" s="49">
        <f>IF(C21="","",IF(A25="","",IF(A25="XXXX","XXXX",IF(C9="","",IF(C9="DIN R",IF(Tabelle3!B31="","",IF((2*(C21-C15))+(Tabelle3!B31)+(A25)+(2*Tabelle3!B33)&gt;Tabelle3!B29,"",C21-C15)),IF(C9="DIN L",IF(Tabelle3!B31="","",IF((C21-C15)&gt;(Tabelle3!B35+C13),"",IF((Tabelle3!B35+C13+C21-C15+A25+(2*Tabelle3!B33))&gt;Tabelle3!B29,"",C21-C15))),""))))))</f>
        <v>2097</v>
      </c>
      <c r="D25" s="32"/>
      <c r="E25" s="32"/>
      <c r="F25" s="32"/>
      <c r="G25" s="32"/>
      <c r="H25" s="32"/>
    </row>
    <row r="26" spans="1:15" ht="9.9499999999999993" customHeight="1" x14ac:dyDescent="0.25">
      <c r="A26" s="40"/>
      <c r="B26" s="40"/>
      <c r="C26" s="40"/>
      <c r="D26" s="32"/>
      <c r="E26" s="32"/>
      <c r="F26" s="32"/>
      <c r="G26" s="32"/>
      <c r="H26" s="32"/>
    </row>
    <row r="27" spans="1:15" ht="15" customHeight="1" x14ac:dyDescent="0.25">
      <c r="A27" s="41" t="s">
        <v>51</v>
      </c>
      <c r="B27" s="42"/>
      <c r="C27" s="43">
        <f>IF(Tabelle3!B31="","",IF(A21&lt;600,"",IF(C9="","",IF(C9="DIN R",(Tabelle3!B31)+(A25)+(2*(C21-C15)+(2*Tabelle3!B33)),IF(C9="DIN L",(Tabelle3!B35+C13+C21-C15+A25+(2*Tabelle3!B33)),"")))))</f>
        <v>5393</v>
      </c>
      <c r="D27" s="31"/>
    </row>
    <row r="28" spans="1:15" ht="38.1" customHeight="1" x14ac:dyDescent="0.25">
      <c r="A28" s="38"/>
      <c r="B28" s="39"/>
      <c r="C28" s="37"/>
      <c r="E28" s="30"/>
      <c r="F28" s="54"/>
      <c r="G28" s="54"/>
      <c r="H28" s="56"/>
    </row>
    <row r="29" spans="1:15" x14ac:dyDescent="0.25">
      <c r="A29" s="71" t="s">
        <v>86</v>
      </c>
      <c r="B29" s="72"/>
      <c r="C29" s="73"/>
      <c r="D29" s="31"/>
      <c r="E29" s="31"/>
      <c r="F29" s="31"/>
      <c r="G29" s="31"/>
      <c r="H29" s="31"/>
    </row>
    <row r="30" spans="1:15" x14ac:dyDescent="0.25">
      <c r="A30" s="44" t="s">
        <v>54</v>
      </c>
      <c r="B30" s="45" t="s">
        <v>0</v>
      </c>
      <c r="C30" s="46" t="s">
        <v>55</v>
      </c>
      <c r="D30" s="31"/>
      <c r="E30" s="31"/>
      <c r="F30" s="31"/>
      <c r="G30" s="31"/>
      <c r="H30" s="31"/>
    </row>
    <row r="31" spans="1:15" ht="15" customHeight="1" x14ac:dyDescent="0.25">
      <c r="A31" s="50">
        <f>IF(A25="","",IF(A25="XXXX","XXXX",A25-27))</f>
        <v>867</v>
      </c>
      <c r="B31" s="51" t="s">
        <v>0</v>
      </c>
      <c r="C31" s="52">
        <f>IF(C25="","",IF(C25="XXXX","XXXX",IF(C17="JA",C25-21-27,IF(C17="nein",C25-21,"XXXX"))))</f>
        <v>2076</v>
      </c>
      <c r="D31" s="33"/>
      <c r="E31" s="33"/>
      <c r="F31" s="33"/>
      <c r="G31" s="33"/>
      <c r="H31" s="33"/>
    </row>
    <row r="32" spans="1:15" ht="9.9499999999999993" customHeight="1" x14ac:dyDescent="0.25">
      <c r="A32" s="37"/>
      <c r="B32" s="37"/>
      <c r="C32" s="37"/>
    </row>
    <row r="33" spans="1:11" ht="15" customHeight="1" x14ac:dyDescent="0.25">
      <c r="A33" s="63" t="s">
        <v>2</v>
      </c>
      <c r="B33" s="64"/>
      <c r="C33" s="53">
        <f>IF(A31="","",IF(C31="","",IF(A31="XXXX","",IF(C31="XXXX","",ROUND((C31*A31*25*($C$11/10)/1000000),2)))))</f>
        <v>36</v>
      </c>
    </row>
    <row r="34" spans="1:11" ht="15" customHeight="1" x14ac:dyDescent="0.25">
      <c r="A34" s="60" t="str">
        <f>IF(C33="","XXXX",IF(C33&lt;40,"2 Stk. Bänder",IF(C33&gt;55,"XXXX","3 Stk. Bänder")))</f>
        <v>2 Stk. Bänder</v>
      </c>
      <c r="B34" s="61"/>
      <c r="C34" s="62"/>
    </row>
    <row r="35" spans="1:11" ht="15" customHeight="1" x14ac:dyDescent="0.25">
      <c r="A35" s="2"/>
      <c r="B35" s="30"/>
      <c r="K35" s="59"/>
    </row>
  </sheetData>
  <sheetProtection algorithmName="SHA-512" hashValue="kCcciU1Kcqck5yOBiMPsfpHeGunVx7FoImymtokxqWiUO2Vu4Y9ZO5Bvbit5ZdscDc4sSVS+6KLBB1faJM4VVA==" saltValue="K/0Iv+ltLSUidgWobb+zdA==" spinCount="100000" sheet="1" objects="1" scenarios="1" selectLockedCells="1"/>
  <protectedRanges>
    <protectedRange sqref="A1 D1 A3 A5 G3 G5 G7 J3 K3 J5 K5 J7 K7 C9 C11 C13 C15 C17 A21 C21" name="Bereich1"/>
  </protectedRanges>
  <customSheetViews>
    <customSheetView guid="{388058D6-6C82-48EE-9430-34B88BCB3CD0}" scale="70" showPageBreaks="1" showRowCol="0" printArea="1" view="pageLayout">
      <selection sqref="A1:C1"/>
      <pageMargins left="0.39370078740157483" right="0.39370078740157483" top="0.8035714285714286" bottom="0.19685039370078741" header="0.11811023622047245" footer="0.31496062992125984"/>
      <pageSetup paperSize="9" orientation="landscape" r:id="rId1"/>
      <headerFooter>
        <oddHeader>&amp;R&amp;G</oddHeader>
      </headerFooter>
    </customSheetView>
  </customSheetViews>
  <mergeCells count="14">
    <mergeCell ref="K1:K2"/>
    <mergeCell ref="G7:H7"/>
    <mergeCell ref="G5:H5"/>
    <mergeCell ref="G3:H3"/>
    <mergeCell ref="A5:E5"/>
    <mergeCell ref="A3:E3"/>
    <mergeCell ref="D1:E1"/>
    <mergeCell ref="A1:C1"/>
    <mergeCell ref="A34:C34"/>
    <mergeCell ref="A33:B33"/>
    <mergeCell ref="A19:C19"/>
    <mergeCell ref="A23:C23"/>
    <mergeCell ref="A29:C29"/>
    <mergeCell ref="A7:C7"/>
  </mergeCells>
  <pageMargins left="0.39370078740157483" right="0.39370078740157483" top="0.78740157480314965" bottom="0.19685039370078741" header="0.11811023622047245" footer="0.31496062992125984"/>
  <pageSetup paperSize="9" orientation="landscape" r:id="rId2"/>
  <headerFooter>
    <oddHeader>&amp;R&amp;G</oddHeader>
  </headerFooter>
  <drawing r:id="rId3"/>
  <legacyDrawing r:id="rId4"/>
  <legacyDrawingHF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48" r:id="rId6" name="Check Box 424">
              <controlPr locked="0" defaultSize="0" autoFill="0" autoLine="0" autoPict="0">
                <anchor moveWithCells="1">
                  <from>
                    <xdr:col>9</xdr:col>
                    <xdr:colOff>57150</xdr:colOff>
                    <xdr:row>2</xdr:row>
                    <xdr:rowOff>19050</xdr:rowOff>
                  </from>
                  <to>
                    <xdr:col>9</xdr:col>
                    <xdr:colOff>276225</xdr:colOff>
                    <xdr:row>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7" name="Check Box 425">
              <controlPr locked="0" defaultSize="0" autoFill="0" autoLine="0" autoPict="0">
                <anchor moveWithCells="1">
                  <from>
                    <xdr:col>10</xdr:col>
                    <xdr:colOff>47625</xdr:colOff>
                    <xdr:row>2</xdr:row>
                    <xdr:rowOff>19050</xdr:rowOff>
                  </from>
                  <to>
                    <xdr:col>10</xdr:col>
                    <xdr:colOff>266700</xdr:colOff>
                    <xdr:row>2</xdr:row>
                    <xdr:rowOff>228600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Tabelle3!$A$2:$A$3</xm:f>
          </x14:formula1>
          <xm:sqref>C17</xm:sqref>
        </x14:dataValidation>
        <x14:dataValidation type="list" allowBlank="1" showInputMessage="1" showErrorMessage="1" error="DIN R ode DIN L zulässig">
          <x14:formula1>
            <xm:f>Tabelle3!$B$2:$B$3</xm:f>
          </x14:formula1>
          <xm:sqref>C9</xm:sqref>
        </x14:dataValidation>
        <x14:dataValidation type="list" allowBlank="1" showInputMessage="1" showErrorMessage="1" error="8 oder 10 zulässig">
          <x14:formula1>
            <xm:f>Tabelle3!$C$2:$C$3</xm:f>
          </x14:formula1>
          <xm:sqref>C11</xm:sqref>
        </x14:dataValidation>
        <x14:dataValidation type="list" allowBlank="1" showInputMessage="1" showErrorMessage="1">
          <x14:formula1>
            <xm:f>Tabelle3!$D$2:$D$3</xm:f>
          </x14:formula1>
          <xm:sqref>K5</xm:sqref>
        </x14:dataValidation>
        <x14:dataValidation type="list" allowBlank="1" showInputMessage="1" showErrorMessage="1">
          <x14:formula1>
            <xm:f>Tabelle3!$D$5:$D$7</xm:f>
          </x14:formula1>
          <xm:sqref>J7</xm:sqref>
        </x14:dataValidation>
        <x14:dataValidation type="list" allowBlank="1" showInputMessage="1" showErrorMessage="1">
          <x14:formula1>
            <xm:f>Tabelle3!$D$1:$D$3</xm:f>
          </x14:formula1>
          <xm:sqref>K7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"/>
  <sheetViews>
    <sheetView zoomScaleNormal="100" workbookViewId="0">
      <selection activeCell="D9" sqref="D9:D10"/>
    </sheetView>
  </sheetViews>
  <sheetFormatPr baseColWidth="10" defaultRowHeight="15" x14ac:dyDescent="0.25"/>
  <cols>
    <col min="1" max="1" width="22.42578125" customWidth="1"/>
    <col min="2" max="2" width="25" customWidth="1"/>
    <col min="3" max="3" width="20.28515625" customWidth="1"/>
    <col min="4" max="4" width="26.28515625" customWidth="1"/>
    <col min="5" max="5" width="3.42578125" customWidth="1"/>
    <col min="6" max="6" width="13.28515625" customWidth="1"/>
    <col min="7" max="7" width="8.5703125" customWidth="1"/>
    <col min="8" max="8" width="3.42578125" customWidth="1"/>
    <col min="9" max="10" width="8.5703125" customWidth="1"/>
    <col min="11" max="11" width="3.42578125" customWidth="1"/>
    <col min="12" max="12" width="8.5703125" customWidth="1"/>
    <col min="15" max="15" width="21.5703125" customWidth="1"/>
    <col min="18" max="18" width="21.5703125" customWidth="1"/>
  </cols>
  <sheetData>
    <row r="1" spans="1:4" ht="15.75" thickBot="1" x14ac:dyDescent="0.3">
      <c r="A1" s="23" t="s">
        <v>39</v>
      </c>
    </row>
    <row r="2" spans="1:4" x14ac:dyDescent="0.25">
      <c r="A2" s="8" t="s">
        <v>9</v>
      </c>
      <c r="B2" s="12" t="s">
        <v>7</v>
      </c>
      <c r="C2" s="9">
        <v>8</v>
      </c>
      <c r="D2" t="s">
        <v>81</v>
      </c>
    </row>
    <row r="3" spans="1:4" ht="15.75" thickBot="1" x14ac:dyDescent="0.3">
      <c r="A3" s="10" t="s">
        <v>10</v>
      </c>
      <c r="B3" s="13" t="s">
        <v>6</v>
      </c>
      <c r="C3" s="11">
        <v>10</v>
      </c>
      <c r="D3" t="s">
        <v>80</v>
      </c>
    </row>
    <row r="4" spans="1:4" ht="15.75" thickBot="1" x14ac:dyDescent="0.3"/>
    <row r="5" spans="1:4" ht="15.75" thickBot="1" x14ac:dyDescent="0.3">
      <c r="A5" s="20" t="s">
        <v>11</v>
      </c>
      <c r="B5" s="20" t="s">
        <v>12</v>
      </c>
      <c r="D5" t="s">
        <v>87</v>
      </c>
    </row>
    <row r="6" spans="1:4" x14ac:dyDescent="0.25">
      <c r="A6" s="20" t="str">
        <f>IF(A37="","",IF(A37="XXX","",IF('Berechnung KPZ-24 Zarge'!C9="DIN L",CONCATENATE("MLB = ", 'Berechnung KPZ-24 Zarge'!A21),"")))</f>
        <v/>
      </c>
      <c r="B6" s="9" t="str">
        <f>IF(A37="","",IF(A37="XXX","",IF('Berechnung KPZ-24 Zarge'!C9="DIN R",CONCATENATE("MLB = ", 'Berechnung KPZ-24 Zarge'!A21),"")))</f>
        <v>MLB = 900</v>
      </c>
      <c r="C6" s="20" t="s">
        <v>32</v>
      </c>
      <c r="D6" t="s">
        <v>88</v>
      </c>
    </row>
    <row r="7" spans="1:4" x14ac:dyDescent="0.25">
      <c r="A7" s="21" t="str">
        <f>IF(A37="","",IF(A37="XXX","",IF('Berechnung KPZ-24 Zarge'!C9="DIN L",CONCATENATE("ZB = ", 'Berechnung KPZ-24 Zarge'!A25),"")))</f>
        <v/>
      </c>
      <c r="B7" s="7" t="str">
        <f>IF(A37="","",IF(A37="XXX","",IF('Berechnung KPZ-24 Zarge'!C9="DIN R",CONCATENATE("ZB = ", 'Berechnung KPZ-24 Zarge'!A25),"")))</f>
        <v>ZB = 894</v>
      </c>
      <c r="C7" s="21" t="s">
        <v>33</v>
      </c>
      <c r="D7" t="s">
        <v>89</v>
      </c>
    </row>
    <row r="8" spans="1:4" x14ac:dyDescent="0.25">
      <c r="A8" s="21" t="str">
        <f>IF(A37="","",IF(A37="XXX","",IF('Berechnung KPZ-24 Zarge'!C9="DIN L",CONCATENATE("GB = ", 'Berechnung KPZ-24 Zarge'!A31),"")))</f>
        <v/>
      </c>
      <c r="B8" s="7" t="str">
        <f>IF(A37="","",IF(A37="XXX","",IF('Berechnung KPZ-24 Zarge'!C9="DIN R",CONCATENATE("GB = ", 'Berechnung KPZ-24 Zarge'!A31),"")))</f>
        <v>GB = 867</v>
      </c>
      <c r="C8" s="21" t="s">
        <v>37</v>
      </c>
    </row>
    <row r="9" spans="1:4" x14ac:dyDescent="0.25">
      <c r="A9" s="21" t="str">
        <f>IF(A37="","",IF(A37="XXX","",IF('Berechnung KPZ-24 Zarge'!C9="DIN L",CONCATENATE("MLH = ", 'Berechnung KPZ-24 Zarge'!C21),"")))</f>
        <v/>
      </c>
      <c r="B9" s="7" t="str">
        <f>IF(A37="","",IF(A37="XXX","",IF('Berechnung KPZ-24 Zarge'!C9="DIN R",CONCATENATE("MLH = ", 'Berechnung KPZ-24 Zarge'!C21),"")))</f>
        <v>MLH = 2100</v>
      </c>
      <c r="C9" s="21" t="s">
        <v>34</v>
      </c>
      <c r="D9" s="79" t="b">
        <v>1</v>
      </c>
    </row>
    <row r="10" spans="1:4" x14ac:dyDescent="0.25">
      <c r="A10" s="21" t="str">
        <f>IF(A37="","",IF(A37="XXX","",IF('Berechnung KPZ-24 Zarge'!C9="DIN L",CONCATENATE("ZH = ", 'Berechnung KPZ-24 Zarge'!C25),"")))</f>
        <v/>
      </c>
      <c r="B10" s="7" t="str">
        <f>IF(A37="","",IF(A37="XXX","",IF('Berechnung KPZ-24 Zarge'!C9="DIN R",CONCATENATE("ZH = ", 'Berechnung KPZ-24 Zarge'!C25),"")))</f>
        <v>ZH = 2097</v>
      </c>
      <c r="C10" s="21" t="s">
        <v>35</v>
      </c>
      <c r="D10" s="91" t="b">
        <v>0</v>
      </c>
    </row>
    <row r="11" spans="1:4" x14ac:dyDescent="0.25">
      <c r="A11" s="21" t="str">
        <f>IF(A37="","",IF(A37="XXX","",IF('Berechnung KPZ-24 Zarge'!C9="DIN L",CONCATENATE("GH = ", 'Berechnung KPZ-24 Zarge'!C31),"")))</f>
        <v/>
      </c>
      <c r="B11" s="7" t="str">
        <f>IF(A37="","",IF(A37="XXX","",IF('Berechnung KPZ-24 Zarge'!C9="DIN R",CONCATENATE("GH = ", 'Berechnung KPZ-24 Zarge'!C31),"")))</f>
        <v>GH = 2076</v>
      </c>
      <c r="C11" s="21" t="s">
        <v>36</v>
      </c>
    </row>
    <row r="12" spans="1:4" x14ac:dyDescent="0.25">
      <c r="A12" s="21" t="str">
        <f>IF(A37="","",IF(A37="XXX","",IF('Berechnung KPZ-24 Zarge'!C9="DIN L",CONCATENATE("Fallenhöhe = ", 'Berechnung KPZ-24 Zarge'!C13),"")))</f>
        <v/>
      </c>
      <c r="B12" s="7" t="str">
        <f>IF(A37="","",IF(A37="XXX","",IF('Berechnung KPZ-24 Zarge'!C9="DIN R",CONCATENATE("Fallenhöhe = ", 'Berechnung KPZ-24 Zarge'!C13),"")))</f>
        <v>Fallenhöhe = 1050</v>
      </c>
      <c r="C12" s="21" t="s">
        <v>38</v>
      </c>
    </row>
    <row r="13" spans="1:4" x14ac:dyDescent="0.25">
      <c r="A13" s="27" t="str">
        <f>IF($A$37="","",IF($A$37="XXX","",IF('Berechnung KPZ-24 Zarge'!$C$9="DIN L",'Berechnung KPZ-24 Zarge'!C11,"")))</f>
        <v/>
      </c>
      <c r="B13" s="28">
        <f>IF(A37="","",IF(A37="XXX","",IF('Berechnung KPZ-24 Zarge'!C9="DIN R",'Berechnung KPZ-24 Zarge'!C11,"")))</f>
        <v>8</v>
      </c>
      <c r="C13" s="21" t="s">
        <v>40</v>
      </c>
    </row>
    <row r="14" spans="1:4" x14ac:dyDescent="0.25">
      <c r="A14" s="27" t="str">
        <f>IF($A$37="","",IF($A$37="XXX","",IF('Berechnung KPZ-24 Zarge'!$C$9="DIN L","300","")))</f>
        <v/>
      </c>
      <c r="B14" s="28" t="str">
        <f>IF($A$37="","",IF($A$37="XXX","",IF('Berechnung KPZ-24 Zarge'!$C$9="DIN R","300","")))</f>
        <v>300</v>
      </c>
      <c r="C14" s="21" t="s">
        <v>60</v>
      </c>
    </row>
    <row r="15" spans="1:4" x14ac:dyDescent="0.25">
      <c r="A15" s="27" t="str">
        <f>IF($A$37="","",IF($A$37="XXX","",IF('Berechnung KPZ-24 Zarge'!$C$9="DIN L","FFOK","")))</f>
        <v/>
      </c>
      <c r="B15" s="28" t="str">
        <f>IF($A$37="","",IF($A$37="XXX","",IF('Berechnung KPZ-24 Zarge'!$C$9="DIN R","FFOK","")))</f>
        <v>FFOK</v>
      </c>
      <c r="C15" s="21" t="s">
        <v>61</v>
      </c>
    </row>
    <row r="16" spans="1:4" x14ac:dyDescent="0.25">
      <c r="A16" s="27" t="str">
        <f>IF($A$37="","",IF($A$37="XXX","",IF('Berechnung KPZ-24 Zarge'!$C$9="DIN L",IF('Berechnung KPZ-24 Zarge'!A34="3 Stk. Bänder","300",""),"")))</f>
        <v/>
      </c>
      <c r="B16" s="28" t="str">
        <f>IF($A$37="","",IF($A$37="XXX","",IF('Berechnung KPZ-24 Zarge'!$C$9="DIN R",IF('Berechnung KPZ-24 Zarge'!A34="3 Stk. Bänder","300",""),"")))</f>
        <v/>
      </c>
      <c r="C16" s="21" t="s">
        <v>62</v>
      </c>
    </row>
    <row r="17" spans="1:3" ht="15.75" thickBot="1" x14ac:dyDescent="0.3">
      <c r="A17" s="26" t="str">
        <f>IF($A$37="","",IF($A$37="XXX","",IF('Berechnung KPZ-24 Zarge'!$C$9="DIN L",'Berechnung KPZ-24 Zarge'!C15,"")))</f>
        <v/>
      </c>
      <c r="B17" s="29">
        <f>IF($A$37="","",IF($A$37="XXX","",IF('Berechnung KPZ-24 Zarge'!$C$9="DIN R",'Berechnung KPZ-24 Zarge'!C15,"")))</f>
        <v>3</v>
      </c>
      <c r="C17" s="22" t="s">
        <v>63</v>
      </c>
    </row>
    <row r="18" spans="1:3" x14ac:dyDescent="0.25">
      <c r="A18" s="27" t="str">
        <f>IF($A$37="","",IF($A$37="XXX","",IF('Berechnung KPZ-24 Zarge'!$C$9="DIN L",IF('Berechnung KPZ-24 Zarge'!A34="3 Stk. Bänder",IF('Berechnung KPZ-24 Zarge'!C17="ja",300-34.5,300-7.5),""),"")))</f>
        <v/>
      </c>
      <c r="B18" s="28" t="str">
        <f>IF($A$37="","",IF($A$37="XXX","",IF('Berechnung KPZ-24 Zarge'!$C$9="DIN R",IF('Berechnung KPZ-24 Zarge'!A34="3 Stk. Bänder",IF('Berechnung KPZ-24 Zarge'!C17="ja",300-34.5,300-7.5),""),"")))</f>
        <v/>
      </c>
      <c r="C18" s="21" t="s">
        <v>65</v>
      </c>
    </row>
    <row r="19" spans="1:3" x14ac:dyDescent="0.25">
      <c r="A19" s="27" t="str">
        <f>IF($A$37="","",IF($A$37="XXX","",IF('Berechnung KPZ-24 Zarge'!$C$9="DIN L",IF('Berechnung KPZ-24 Zarge'!A34="3 Stk. Bänder","",IF('Berechnung KPZ-24 Zarge'!C17="ja",300-34.5,300-7.5)),"")))</f>
        <v/>
      </c>
      <c r="B19" s="28">
        <f>IF($A$37="","",IF($A$37="XXX","",IF('Berechnung KPZ-24 Zarge'!$C$9="DIN R",IF('Berechnung KPZ-24 Zarge'!A34="3 Stk. Bänder","",IF('Berechnung KPZ-24 Zarge'!C17="ja",300-34.5,300-7.5)),"")))</f>
        <v>292.5</v>
      </c>
      <c r="C19" s="21" t="s">
        <v>66</v>
      </c>
    </row>
    <row r="20" spans="1:3" x14ac:dyDescent="0.25">
      <c r="A20" s="27" t="str">
        <f>IF($A$37="","",IF($A$37="XXX","",IF('Berechnung KPZ-24 Zarge'!$C$9="DIN L",IF('Berechnung KPZ-24 Zarge'!C17="ja",'Berechnung KPZ-24 Zarge'!C13-34.5,'Berechnung KPZ-24 Zarge'!C13-7.5),"")))</f>
        <v/>
      </c>
      <c r="B20" s="28">
        <f>IF($A$37="","",IF($A$37="XXX","",IF('Berechnung KPZ-24 Zarge'!$C$9="DIN R",IF('Berechnung KPZ-24 Zarge'!C17="ja",'Berechnung KPZ-24 Zarge'!C13-34.5,'Berechnung KPZ-24 Zarge'!C13-7.5),"")))</f>
        <v>1042.5</v>
      </c>
      <c r="C20" s="21" t="s">
        <v>64</v>
      </c>
    </row>
    <row r="21" spans="1:3" x14ac:dyDescent="0.25">
      <c r="A21" s="27" t="str">
        <f>IF($A$37="","",IF($A$37="XXX","",IF('Berechnung KPZ-24 Zarge'!$C$9="DIN L",IF('Berechnung KPZ-24 Zarge'!A34="3 Stk. Bänder","",'Berechnung KPZ-24 Zarge'!C31-286.5),"")))</f>
        <v/>
      </c>
      <c r="B21" s="28">
        <f>IF($A$37="","",IF($A$37="XXX","",IF('Berechnung KPZ-24 Zarge'!$C$9="DIN R",IF('Berechnung KPZ-24 Zarge'!A34="3 Stk. Bänder","",'Berechnung KPZ-24 Zarge'!C31-286.5),"")))</f>
        <v>1789.5</v>
      </c>
      <c r="C21" s="21" t="s">
        <v>67</v>
      </c>
    </row>
    <row r="22" spans="1:3" x14ac:dyDescent="0.25">
      <c r="A22" s="27" t="str">
        <f>IF($A$37="","",IF($A$37="XXX","",IF('Berechnung KPZ-24 Zarge'!$C$9="DIN L",IF('Berechnung KPZ-24 Zarge'!A34="3 Stk. Bänder",'Berechnung KPZ-24 Zarge'!C31-286.5,""),"")))</f>
        <v/>
      </c>
      <c r="B22" s="28" t="str">
        <f>IF($A$37="","",IF($A$37="XXX","",IF('Berechnung KPZ-24 Zarge'!$C$9="DIN R",IF('Berechnung KPZ-24 Zarge'!A34="3 Stk. Bänder",'Berechnung KPZ-24 Zarge'!C31-286.5,""),"")))</f>
        <v/>
      </c>
      <c r="C22" s="21" t="s">
        <v>68</v>
      </c>
    </row>
    <row r="23" spans="1:3" x14ac:dyDescent="0.25">
      <c r="A23" s="27" t="str">
        <f>IF($A$37="","",IF($A$37="XXX","",IF('Berechnung KPZ-24 Zarge'!$C$9="DIN L",IF('Berechnung KPZ-24 Zarge'!A34="3 Stk. Bänder",'Berechnung KPZ-24 Zarge'!C31-286.5-300,""),"")))</f>
        <v/>
      </c>
      <c r="B23" s="28" t="str">
        <f>IF($A$37="","",IF($A$37="XXX","",IF('Berechnung KPZ-24 Zarge'!$C$9="DIN R",IF('Berechnung KPZ-24 Zarge'!A34="3 Stk. Bänder",'Berechnung KPZ-24 Zarge'!C31-286.5-300,""),"")))</f>
        <v/>
      </c>
      <c r="C23" s="21" t="s">
        <v>69</v>
      </c>
    </row>
    <row r="24" spans="1:3" x14ac:dyDescent="0.25">
      <c r="A24" s="27" t="str">
        <f>IF($A$37="","",IF($A$37="XXX","",IF('Berechnung KPZ-24 Zarge'!$C$9="DIN L",IF('Berechnung KPZ-24 Zarge'!A34="3 Stk. Bänder","",A11),"")))</f>
        <v/>
      </c>
      <c r="B24" s="28" t="str">
        <f>IF($A$37="","",IF($A$37="XXX","",IF('Berechnung KPZ-24 Zarge'!$C$9="DIN R",IF('Berechnung KPZ-24 Zarge'!A34="3 Stk. Bänder","",B11),"")))</f>
        <v>GH = 2076</v>
      </c>
      <c r="C24" s="21" t="s">
        <v>70</v>
      </c>
    </row>
    <row r="25" spans="1:3" x14ac:dyDescent="0.25">
      <c r="A25" s="27" t="str">
        <f>IF($A$37="","",IF($A$37="XXX","",IF('Berechnung KPZ-24 Zarge'!$C$9="DIN L",IF('Berechnung KPZ-24 Zarge'!A34="3 Stk. Bänder",A11,""),"")))</f>
        <v/>
      </c>
      <c r="B25" s="28" t="str">
        <f>IF($A$37="","",IF($A$37="XXX","",IF('Berechnung KPZ-24 Zarge'!$C$9="DIN R",IF('Berechnung KPZ-24 Zarge'!A34="3 Stk. Bänder",B11,""),"")))</f>
        <v/>
      </c>
      <c r="C25" s="21" t="s">
        <v>71</v>
      </c>
    </row>
    <row r="26" spans="1:3" x14ac:dyDescent="0.25">
      <c r="A26" s="27" t="str">
        <f>IF($A$37="","",IF($A$37="XXX","",IF('Berechnung KPZ-24 Zarge'!$C$9="DIN L",CONCATENATE('Berechnung KPZ-24 Zarge'!C11,"mm ESG, KP",""),"")))</f>
        <v/>
      </c>
      <c r="B26" s="57" t="str">
        <f>IF($A$37="","",IF($A$37="XXX","",IF('Berechnung KPZ-24 Zarge'!$C$9="DIN R",CONCATENATE('Berechnung KPZ-24 Zarge'!C11,"mm ESG, KP",""),"")))</f>
        <v>8mm ESG, KP</v>
      </c>
      <c r="C26" s="21"/>
    </row>
    <row r="27" spans="1:3" ht="15.75" thickBot="1" x14ac:dyDescent="0.3">
      <c r="A27" s="26"/>
      <c r="B27" s="29"/>
      <c r="C27" s="22"/>
    </row>
    <row r="29" spans="1:3" x14ac:dyDescent="0.25">
      <c r="A29" s="4" t="s">
        <v>1</v>
      </c>
      <c r="B29" s="5">
        <v>6000</v>
      </c>
      <c r="C29" s="6" t="s">
        <v>3</v>
      </c>
    </row>
    <row r="31" spans="1:3" x14ac:dyDescent="0.25">
      <c r="A31" s="3" t="s">
        <v>4</v>
      </c>
      <c r="B31" s="5">
        <f>IF(B35-'Berechnung KPZ-24 Zarge'!C13&lt;0,"",B35-'Berechnung KPZ-24 Zarge'!C13)</f>
        <v>300</v>
      </c>
      <c r="C31" s="6" t="s">
        <v>3</v>
      </c>
    </row>
    <row r="33" spans="1:3" x14ac:dyDescent="0.25">
      <c r="A33" s="3" t="s">
        <v>30</v>
      </c>
      <c r="B33" s="5">
        <v>2.5</v>
      </c>
      <c r="C33" s="6" t="s">
        <v>3</v>
      </c>
    </row>
    <row r="34" spans="1:3" x14ac:dyDescent="0.25">
      <c r="A34" s="3"/>
      <c r="B34" s="24"/>
      <c r="C34" s="25"/>
    </row>
    <row r="35" spans="1:3" x14ac:dyDescent="0.25">
      <c r="A35" s="3" t="s">
        <v>47</v>
      </c>
      <c r="B35" s="5">
        <v>1350</v>
      </c>
      <c r="C35" s="6" t="s">
        <v>3</v>
      </c>
    </row>
    <row r="36" spans="1:3" x14ac:dyDescent="0.25">
      <c r="A36" s="3"/>
      <c r="B36" s="24"/>
      <c r="C36" s="25"/>
    </row>
    <row r="37" spans="1:3" ht="18.75" x14ac:dyDescent="0.3">
      <c r="A37" s="17" t="str">
        <f>Tabelle4!A1</f>
        <v>DIN R / 8 / nein / 2</v>
      </c>
      <c r="B37" s="18"/>
    </row>
    <row r="38" spans="1:3" x14ac:dyDescent="0.25">
      <c r="A38" s="19">
        <v>1</v>
      </c>
      <c r="B38" t="str">
        <f>Tabelle4!A2</f>
        <v>DIN R / 8 / nein / 2</v>
      </c>
    </row>
    <row r="39" spans="1:3" x14ac:dyDescent="0.25">
      <c r="A39" s="19">
        <v>2</v>
      </c>
      <c r="B39" t="str">
        <f>Tabelle4!A4</f>
        <v>DIN R / 8 / ja / 2</v>
      </c>
    </row>
    <row r="40" spans="1:3" x14ac:dyDescent="0.25">
      <c r="A40" s="19">
        <v>3</v>
      </c>
      <c r="B40" t="str">
        <f>Tabelle4!A6</f>
        <v>DIN R / 10 / nein / 2</v>
      </c>
    </row>
    <row r="41" spans="1:3" x14ac:dyDescent="0.25">
      <c r="A41" s="19">
        <v>4</v>
      </c>
      <c r="B41" t="str">
        <f>Tabelle4!A8</f>
        <v>DIN R / 10 / ja / 2</v>
      </c>
    </row>
    <row r="42" spans="1:3" x14ac:dyDescent="0.25">
      <c r="A42" s="19">
        <v>5</v>
      </c>
      <c r="B42" t="str">
        <f>Tabelle4!A10</f>
        <v>DIN R / 8 / nein / 3</v>
      </c>
    </row>
    <row r="43" spans="1:3" x14ac:dyDescent="0.25">
      <c r="A43" s="19">
        <v>6</v>
      </c>
      <c r="B43" t="str">
        <f>Tabelle4!A12</f>
        <v>DIN R / 8 / ja / 3</v>
      </c>
    </row>
    <row r="44" spans="1:3" x14ac:dyDescent="0.25">
      <c r="A44" s="19">
        <v>7</v>
      </c>
      <c r="B44" t="str">
        <f>Tabelle4!A14</f>
        <v>DIN R / 10 / nein / 3</v>
      </c>
    </row>
    <row r="45" spans="1:3" x14ac:dyDescent="0.25">
      <c r="A45" s="19">
        <v>8</v>
      </c>
      <c r="B45" t="str">
        <f>Tabelle4!A16</f>
        <v>DIN R / 10 / ja / 3</v>
      </c>
    </row>
    <row r="46" spans="1:3" x14ac:dyDescent="0.25">
      <c r="A46" s="19">
        <v>9</v>
      </c>
      <c r="B46" t="str">
        <f>Tabelle4!A18</f>
        <v>DIN L / 8 / nein / 2</v>
      </c>
    </row>
    <row r="47" spans="1:3" x14ac:dyDescent="0.25">
      <c r="A47" s="19">
        <v>10</v>
      </c>
      <c r="B47" t="str">
        <f>Tabelle4!A20</f>
        <v>DIN L / 8 / ja / 2</v>
      </c>
    </row>
    <row r="48" spans="1:3" x14ac:dyDescent="0.25">
      <c r="A48" s="19">
        <v>11</v>
      </c>
      <c r="B48" t="str">
        <f>Tabelle4!A22</f>
        <v>DIN L / 10 / nein / 2</v>
      </c>
    </row>
    <row r="49" spans="1:2" x14ac:dyDescent="0.25">
      <c r="A49" s="19">
        <v>12</v>
      </c>
      <c r="B49" t="str">
        <f>Tabelle4!A24</f>
        <v>DIN L / 10 / ja / 2</v>
      </c>
    </row>
    <row r="50" spans="1:2" x14ac:dyDescent="0.25">
      <c r="A50" s="19">
        <v>13</v>
      </c>
      <c r="B50" t="str">
        <f>Tabelle4!A26</f>
        <v>DIN L / 8 / nein / 3</v>
      </c>
    </row>
    <row r="51" spans="1:2" x14ac:dyDescent="0.25">
      <c r="A51" s="19">
        <v>14</v>
      </c>
      <c r="B51" t="str">
        <f>Tabelle4!A28</f>
        <v>DIN L / 8 / ja / 3</v>
      </c>
    </row>
    <row r="52" spans="1:2" x14ac:dyDescent="0.25">
      <c r="A52" s="19">
        <v>15</v>
      </c>
      <c r="B52" t="str">
        <f>Tabelle4!A30</f>
        <v>DIN L / 10 / nein / 3</v>
      </c>
    </row>
    <row r="53" spans="1:2" x14ac:dyDescent="0.25">
      <c r="A53" s="19">
        <v>16</v>
      </c>
      <c r="B53" t="str">
        <f>Tabelle4!A32</f>
        <v>DIN L / 10 / ja / 3</v>
      </c>
    </row>
    <row r="54" spans="1:2" x14ac:dyDescent="0.25">
      <c r="A54" s="19">
        <v>17</v>
      </c>
      <c r="B54" t="str">
        <f>Tabelle4!A34</f>
        <v>XXX</v>
      </c>
    </row>
    <row r="56" spans="1:2" x14ac:dyDescent="0.25">
      <c r="A56" s="15" t="s">
        <v>41</v>
      </c>
    </row>
    <row r="57" spans="1:2" x14ac:dyDescent="0.25">
      <c r="A57" s="15" t="s">
        <v>42</v>
      </c>
    </row>
    <row r="58" spans="1:2" x14ac:dyDescent="0.25">
      <c r="A58" s="15" t="s">
        <v>43</v>
      </c>
    </row>
    <row r="59" spans="1:2" x14ac:dyDescent="0.25">
      <c r="A59" s="15" t="s">
        <v>44</v>
      </c>
    </row>
    <row r="60" spans="1:2" x14ac:dyDescent="0.25">
      <c r="A60" s="15" t="s">
        <v>45</v>
      </c>
    </row>
    <row r="61" spans="1:2" x14ac:dyDescent="0.25">
      <c r="A61" s="15" t="s">
        <v>46</v>
      </c>
    </row>
    <row r="62" spans="1:2" x14ac:dyDescent="0.25">
      <c r="A62" s="15" t="s">
        <v>31</v>
      </c>
    </row>
    <row r="70" spans="17:21" x14ac:dyDescent="0.25">
      <c r="Q70" s="15"/>
      <c r="R70" s="15"/>
      <c r="S70" s="15"/>
      <c r="U70" s="15"/>
    </row>
    <row r="71" spans="17:21" x14ac:dyDescent="0.25">
      <c r="Q71" s="15"/>
      <c r="R71" s="15"/>
      <c r="S71" s="15"/>
      <c r="U71" s="15"/>
    </row>
  </sheetData>
  <sheetProtection algorithmName="SHA-512" hashValue="8fMp6lUtC3DbhWkeKaLAXdURXKzq4D3Y5JMZHKJ7OEEU47YArBBJX4KUynrlEIP7Okh3dNVjwi5pVjWj+qmrpQ==" saltValue="Xsr3m5dNfr3PyE1vhbr6YA==" spinCount="100000" sheet="1" objects="1" scenarios="1"/>
  <customSheetViews>
    <customSheetView guid="{388058D6-6C82-48EE-9430-34B88BCB3CD0}" state="hidden">
      <selection activeCell="D9" sqref="D9:D10"/>
      <pageMargins left="0.7" right="0.7" top="0.78740157499999996" bottom="0.78740157499999996" header="0.3" footer="0.3"/>
      <pageSetup paperSize="9" orientation="portrait" r:id="rId1"/>
    </customSheetView>
  </customSheetViews>
  <pageMargins left="0.7" right="0.7" top="0.78740157499999996" bottom="0.78740157499999996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zoomScale="40" zoomScaleNormal="40" workbookViewId="0">
      <selection activeCell="P12" sqref="P12"/>
    </sheetView>
  </sheetViews>
  <sheetFormatPr baseColWidth="10" defaultRowHeight="46.5" x14ac:dyDescent="0.25"/>
  <cols>
    <col min="1" max="1" width="11.5703125" style="16" customWidth="1"/>
    <col min="2" max="3" width="74.42578125" customWidth="1"/>
  </cols>
  <sheetData>
    <row r="1" spans="1:9" x14ac:dyDescent="0.25">
      <c r="A1" s="16" t="str">
        <f>IF('Berechnung KPZ-24 Zarge'!C9="","XXX",IF('Berechnung KPZ-24 Zarge'!C11="","XXX",IF('Berechnung KPZ-24 Zarge'!C17="","XXX",IF('Berechnung KPZ-24 Zarge'!C33="","XXX",IF('Berechnung KPZ-24 Zarge'!C33&gt;55,"XXX",CONCATENATE('Berechnung KPZ-24 Zarge'!C9," / ",'Berechnung KPZ-24 Zarge'!C11," / ",'Berechnung KPZ-24 Zarge'!C17," / ",IF('Berechnung KPZ-24 Zarge'!C33="","",IF('Berechnung KPZ-24 Zarge'!C33&lt;40,"2",IF('Berechnung KPZ-24 Zarge'!C33&gt;55,"","3")))))))))</f>
        <v>DIN R / 8 / nein / 2</v>
      </c>
    </row>
    <row r="2" spans="1:9" ht="303" customHeight="1" x14ac:dyDescent="0.25">
      <c r="A2" s="75" t="s">
        <v>21</v>
      </c>
      <c r="B2" s="76"/>
      <c r="C2" s="74"/>
      <c r="F2" s="15"/>
      <c r="G2" s="15"/>
      <c r="I2" s="15"/>
    </row>
    <row r="3" spans="1:9" ht="303" customHeight="1" x14ac:dyDescent="0.25">
      <c r="A3" s="75"/>
      <c r="B3" s="74"/>
      <c r="C3" s="74"/>
      <c r="G3" s="14"/>
    </row>
    <row r="4" spans="1:9" ht="303" customHeight="1" x14ac:dyDescent="0.25">
      <c r="A4" s="75" t="s">
        <v>22</v>
      </c>
      <c r="B4" s="74"/>
      <c r="C4" s="74"/>
    </row>
    <row r="5" spans="1:9" ht="303" customHeight="1" x14ac:dyDescent="0.25">
      <c r="A5" s="75"/>
      <c r="B5" s="74"/>
      <c r="C5" s="74"/>
    </row>
    <row r="6" spans="1:9" ht="303" customHeight="1" x14ac:dyDescent="0.25">
      <c r="A6" s="75" t="s">
        <v>23</v>
      </c>
      <c r="B6" s="74"/>
      <c r="C6" s="74"/>
    </row>
    <row r="7" spans="1:9" ht="303" customHeight="1" x14ac:dyDescent="0.25">
      <c r="A7" s="75"/>
      <c r="B7" s="74"/>
      <c r="C7" s="74"/>
    </row>
    <row r="8" spans="1:9" ht="303" customHeight="1" x14ac:dyDescent="0.25">
      <c r="A8" s="75" t="s">
        <v>24</v>
      </c>
      <c r="B8" s="74"/>
      <c r="C8" s="74"/>
    </row>
    <row r="9" spans="1:9" ht="303" customHeight="1" x14ac:dyDescent="0.25">
      <c r="A9" s="75"/>
      <c r="B9" s="74"/>
      <c r="C9" s="74"/>
    </row>
    <row r="10" spans="1:9" ht="303" customHeight="1" x14ac:dyDescent="0.25">
      <c r="A10" s="75" t="s">
        <v>25</v>
      </c>
      <c r="B10" s="74"/>
      <c r="C10" s="74"/>
    </row>
    <row r="11" spans="1:9" ht="303" customHeight="1" x14ac:dyDescent="0.25">
      <c r="A11" s="75"/>
      <c r="B11" s="74"/>
      <c r="C11" s="74"/>
    </row>
    <row r="12" spans="1:9" ht="303" customHeight="1" x14ac:dyDescent="0.25">
      <c r="A12" s="75" t="s">
        <v>26</v>
      </c>
      <c r="B12" s="74"/>
      <c r="C12" s="74"/>
    </row>
    <row r="13" spans="1:9" ht="303" customHeight="1" x14ac:dyDescent="0.25">
      <c r="A13" s="75"/>
      <c r="B13" s="74"/>
      <c r="C13" s="74"/>
    </row>
    <row r="14" spans="1:9" ht="303" customHeight="1" x14ac:dyDescent="0.25">
      <c r="A14" s="75" t="s">
        <v>27</v>
      </c>
      <c r="B14" s="74"/>
      <c r="C14" s="74"/>
    </row>
    <row r="15" spans="1:9" ht="303" customHeight="1" x14ac:dyDescent="0.25">
      <c r="A15" s="75"/>
      <c r="B15" s="74"/>
      <c r="C15" s="74"/>
    </row>
    <row r="16" spans="1:9" ht="303" customHeight="1" x14ac:dyDescent="0.25">
      <c r="A16" s="75" t="s">
        <v>28</v>
      </c>
      <c r="B16" s="74"/>
      <c r="C16" s="74"/>
    </row>
    <row r="17" spans="1:3" ht="303" customHeight="1" x14ac:dyDescent="0.25">
      <c r="A17" s="75"/>
      <c r="B17" s="74"/>
      <c r="C17" s="74"/>
    </row>
    <row r="18" spans="1:3" ht="303" customHeight="1" x14ac:dyDescent="0.25">
      <c r="A18" s="75" t="s">
        <v>13</v>
      </c>
      <c r="B18" s="74"/>
      <c r="C18" s="74"/>
    </row>
    <row r="19" spans="1:3" ht="303" customHeight="1" x14ac:dyDescent="0.25">
      <c r="A19" s="75"/>
      <c r="B19" s="74"/>
      <c r="C19" s="74"/>
    </row>
    <row r="20" spans="1:3" ht="303" customHeight="1" x14ac:dyDescent="0.25">
      <c r="A20" s="75" t="s">
        <v>14</v>
      </c>
      <c r="B20" s="74"/>
      <c r="C20" s="74"/>
    </row>
    <row r="21" spans="1:3" ht="303" customHeight="1" x14ac:dyDescent="0.25">
      <c r="A21" s="75"/>
      <c r="B21" s="74"/>
      <c r="C21" s="74"/>
    </row>
    <row r="22" spans="1:3" ht="303" customHeight="1" x14ac:dyDescent="0.25">
      <c r="A22" s="75" t="s">
        <v>15</v>
      </c>
      <c r="B22" s="74"/>
      <c r="C22" s="74"/>
    </row>
    <row r="23" spans="1:3" ht="303" customHeight="1" x14ac:dyDescent="0.25">
      <c r="A23" s="75"/>
      <c r="B23" s="74"/>
      <c r="C23" s="74"/>
    </row>
    <row r="24" spans="1:3" ht="303" customHeight="1" x14ac:dyDescent="0.25">
      <c r="A24" s="75" t="s">
        <v>16</v>
      </c>
      <c r="B24" s="74"/>
      <c r="C24" s="74"/>
    </row>
    <row r="25" spans="1:3" ht="303" customHeight="1" x14ac:dyDescent="0.25">
      <c r="A25" s="75"/>
      <c r="B25" s="74"/>
      <c r="C25" s="74"/>
    </row>
    <row r="26" spans="1:3" ht="303" customHeight="1" x14ac:dyDescent="0.25">
      <c r="A26" s="75" t="s">
        <v>17</v>
      </c>
      <c r="B26" s="74"/>
      <c r="C26" s="74"/>
    </row>
    <row r="27" spans="1:3" ht="303" customHeight="1" x14ac:dyDescent="0.25">
      <c r="A27" s="75"/>
      <c r="B27" s="74"/>
      <c r="C27" s="74"/>
    </row>
    <row r="28" spans="1:3" ht="303" customHeight="1" x14ac:dyDescent="0.25">
      <c r="A28" s="75" t="s">
        <v>18</v>
      </c>
      <c r="B28" s="74"/>
      <c r="C28" s="74"/>
    </row>
    <row r="29" spans="1:3" ht="303" customHeight="1" x14ac:dyDescent="0.25">
      <c r="A29" s="75"/>
      <c r="B29" s="74"/>
      <c r="C29" s="74"/>
    </row>
    <row r="30" spans="1:3" ht="303" customHeight="1" x14ac:dyDescent="0.25">
      <c r="A30" s="75" t="s">
        <v>19</v>
      </c>
      <c r="B30" s="74"/>
      <c r="C30" s="74"/>
    </row>
    <row r="31" spans="1:3" ht="303" customHeight="1" x14ac:dyDescent="0.25">
      <c r="A31" s="75"/>
      <c r="B31" s="74"/>
      <c r="C31" s="74"/>
    </row>
    <row r="32" spans="1:3" ht="303" customHeight="1" x14ac:dyDescent="0.25">
      <c r="A32" s="75" t="s">
        <v>20</v>
      </c>
      <c r="B32" s="74"/>
      <c r="C32" s="74"/>
    </row>
    <row r="33" spans="1:3" ht="303" customHeight="1" x14ac:dyDescent="0.25">
      <c r="A33" s="75"/>
      <c r="B33" s="74"/>
      <c r="C33" s="74"/>
    </row>
    <row r="34" spans="1:3" ht="303" customHeight="1" x14ac:dyDescent="0.25">
      <c r="A34" s="75" t="s">
        <v>29</v>
      </c>
      <c r="B34" s="74"/>
      <c r="C34" s="74"/>
    </row>
    <row r="35" spans="1:3" ht="303" customHeight="1" x14ac:dyDescent="0.25">
      <c r="A35" s="75"/>
      <c r="B35" s="74"/>
      <c r="C35" s="74"/>
    </row>
  </sheetData>
  <sheetProtection algorithmName="SHA-512" hashValue="gck+nQOGTuIYMb2dnvFFVO4jqVdwwH/M1yiFK4cWYvId8E2zy2KrEjgmvg4uShd5ck9yKV69L+zoVn4XdeomEw==" saltValue="MpN5D6U6z5zyWmOEhQ23XQ==" spinCount="100000" sheet="1" objects="1" scenarios="1"/>
  <customSheetViews>
    <customSheetView guid="{388058D6-6C82-48EE-9430-34B88BCB3CD0}" scale="40" state="hidden">
      <selection activeCell="P12" sqref="P12"/>
      <pageMargins left="0.7" right="0.7" top="0.78740157499999996" bottom="0.78740157499999996" header="0.3" footer="0.3"/>
      <pageSetup paperSize="9" orientation="portrait" verticalDpi="300" r:id="rId1"/>
    </customSheetView>
  </customSheetViews>
  <mergeCells count="51">
    <mergeCell ref="C32:C33"/>
    <mergeCell ref="C34:C35"/>
    <mergeCell ref="C22:C23"/>
    <mergeCell ref="C24:C25"/>
    <mergeCell ref="C26:C27"/>
    <mergeCell ref="C28:C29"/>
    <mergeCell ref="C30:C31"/>
    <mergeCell ref="C12:C13"/>
    <mergeCell ref="C14:C15"/>
    <mergeCell ref="C16:C17"/>
    <mergeCell ref="C18:C19"/>
    <mergeCell ref="C20:C21"/>
    <mergeCell ref="C2:C3"/>
    <mergeCell ref="C4:C5"/>
    <mergeCell ref="C6:C7"/>
    <mergeCell ref="C8:C9"/>
    <mergeCell ref="C10:C11"/>
    <mergeCell ref="A14:A15"/>
    <mergeCell ref="B14:B15"/>
    <mergeCell ref="A16:A17"/>
    <mergeCell ref="A2:A3"/>
    <mergeCell ref="A4:A5"/>
    <mergeCell ref="A6:A7"/>
    <mergeCell ref="A8:A9"/>
    <mergeCell ref="A10:A11"/>
    <mergeCell ref="A12:A13"/>
    <mergeCell ref="B2:B3"/>
    <mergeCell ref="B4:B5"/>
    <mergeCell ref="B6:B7"/>
    <mergeCell ref="B8:B9"/>
    <mergeCell ref="B10:B11"/>
    <mergeCell ref="B12:B13"/>
    <mergeCell ref="B16:B17"/>
    <mergeCell ref="A34:A35"/>
    <mergeCell ref="B34:B35"/>
    <mergeCell ref="B24:B25"/>
    <mergeCell ref="B22:B23"/>
    <mergeCell ref="B20:B21"/>
    <mergeCell ref="A20:A21"/>
    <mergeCell ref="A22:A23"/>
    <mergeCell ref="A24:A25"/>
    <mergeCell ref="B18:B19"/>
    <mergeCell ref="A26:A27"/>
    <mergeCell ref="A28:A29"/>
    <mergeCell ref="A30:A31"/>
    <mergeCell ref="A32:A33"/>
    <mergeCell ref="B32:B33"/>
    <mergeCell ref="B30:B31"/>
    <mergeCell ref="B28:B29"/>
    <mergeCell ref="B26:B27"/>
    <mergeCell ref="A18:A19"/>
  </mergeCells>
  <pageMargins left="0.7" right="0.7" top="0.78740157499999996" bottom="0.78740157499999996" header="0.3" footer="0.3"/>
  <pageSetup paperSize="9" orientation="portrait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Berechnung KPZ-24 Zarge</vt:lpstr>
      <vt:lpstr>Tabelle3</vt:lpstr>
      <vt:lpstr>Tabelle4</vt:lpstr>
      <vt:lpstr>'Berechnung KPZ-24 Zarge'!Druckbereich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Wasser Günther</dc:creator>
  <cp:lastModifiedBy>Wasser Günther</cp:lastModifiedBy>
  <cp:lastPrinted>2016-07-31T21:41:19Z</cp:lastPrinted>
  <dcterms:created xsi:type="dcterms:W3CDTF">2014-10-08T14:02:44Z</dcterms:created>
  <dcterms:modified xsi:type="dcterms:W3CDTF">2016-07-31T22:25:27Z</dcterms:modified>
</cp:coreProperties>
</file>